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13.bin" ContentType="application/vnd.openxmlformats-officedocument.spreadsheetml.customProperty"/>
  <Override PartName="/xl/customProperty12.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xl/customProperty1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updateLinks="never" codeName="ThisWorkbook"/>
  <mc:AlternateContent xmlns:mc="http://schemas.openxmlformats.org/markup-compatibility/2006">
    <mc:Choice Requires="x15">
      <x15ac:absPath xmlns:x15ac="http://schemas.microsoft.com/office/spreadsheetml/2010/11/ac" url="https://gdsassociates-my.sharepoint.com/personal/danny_kermode_gdsassociates_com/Documents/Documents/-2024/PSE Washington/Gas Model/Final/pdf/"/>
    </mc:Choice>
  </mc:AlternateContent>
  <xr:revisionPtr revIDLastSave="49" documentId="8_{1D64152D-0EEA-42C1-BAFD-7591A593279E}" xr6:coauthVersionLast="47" xr6:coauthVersionMax="47" xr10:uidLastSave="{3E93AA9B-84A0-4682-9DA4-BA7BE999B661}"/>
  <bookViews>
    <workbookView xWindow="28680" yWindow="-120" windowWidth="29040" windowHeight="15720" tabRatio="681" activeTab="1" xr2:uid="{00000000-000D-0000-FFFF-FFFF00000000}"/>
  </bookViews>
  <sheets>
    <sheet name="Def, COC, ConvF DPK-7 " sheetId="6" r:id="rId1"/>
    <sheet name="Summary DPK-7 " sheetId="1" r:id="rId2"/>
    <sheet name="Detailed Summary" sheetId="2" r:id="rId3"/>
    <sheet name="DPK-8 Filtered Summary" sheetId="58" r:id="rId4"/>
    <sheet name="Common Adj" sheetId="44" r:id="rId5"/>
    <sheet name="Gas Adj" sheetId="45" r:id="rId6"/>
    <sheet name="O&amp;M" sheetId="48" r:id="rId7"/>
    <sheet name="4081" sheetId="53" r:id="rId8"/>
    <sheet name="BD-FF" sheetId="55" r:id="rId9"/>
    <sheet name="Subject to Refund" sheetId="46" r:id="rId10"/>
    <sheet name="Adj List" sheetId="3" r:id="rId11"/>
    <sheet name="SEF-NOI-RB p1 Gas wp" sheetId="56" r:id="rId12"/>
    <sheet name="SEF-NOI-RB p2 Gas wp" sheetId="57" r:id="rId13"/>
    <sheet name="Final Rate Years" sheetId="17" r:id="rId14"/>
    <sheet name="Named Ranges E" sheetId="10" r:id="rId15"/>
    <sheet name="Proofs=&gt;" sheetId="15" r:id="rId16"/>
    <sheet name="GAS COS Revenues" sheetId="54" r:id="rId17"/>
    <sheet name="TBPI, ETR, Rev" sheetId="14" r:id="rId18"/>
    <sheet name="G OOR" sheetId="51" r:id="rId19"/>
    <sheet name="G OOE" sheetId="52" r:id="rId20"/>
  </sheets>
  <definedNames>
    <definedName name="_BeforeAfter" localSheetId="3">'DPK-8 Filtered Summary'!$B$469:$BD$489</definedName>
    <definedName name="_BeforeAfter">'Detailed Summary'!$B$469:$BD$489</definedName>
    <definedName name="_xlnm._FilterDatabase" localSheetId="2" hidden="1">'Detailed Summary'!$A$10:$BD$512</definedName>
    <definedName name="_xlnm._FilterDatabase" localSheetId="3" hidden="1">'DPK-8 Filtered Summary'!$A$10:$BD$512</definedName>
    <definedName name="_xlnm._FilterDatabase" localSheetId="18" hidden="1">'G OOR'!$B$9:$AG$47</definedName>
    <definedName name="_xlnm._FilterDatabase" localSheetId="16" hidden="1">'GAS COS Revenues'!$A$3:$L$75</definedName>
    <definedName name="Company">'Named Ranges E'!$B$2</definedName>
    <definedName name="DETAIL" localSheetId="3">'DPK-8 Filtered Summary'!$B$10:$BC$60</definedName>
    <definedName name="DETAIL">'Detailed Summary'!$B$10:$BC$60</definedName>
    <definedName name="DETAIL2" localSheetId="3">'DPK-8 Filtered Summary'!$B$1:$BC$60</definedName>
    <definedName name="DETAIL2">'Detailed Summary'!$B$1:$BC$60</definedName>
    <definedName name="Docket">'Named Ranges E'!$B$9</definedName>
    <definedName name="ExhibitNo">'Named Ranges E'!$B$10</definedName>
    <definedName name="FIT">'Named Ranges E'!$B$11</definedName>
    <definedName name="_xlnm.Print_Area" localSheetId="0">'Def, COC, ConvF DPK-7 '!$A$1:$E$38,'Def, COC, ConvF DPK-7 '!$G$1:$K$41,'Def, COC, ConvF DPK-7 '!$L$1:$P$27</definedName>
    <definedName name="_xlnm.Print_Area" localSheetId="2">'Detailed Summary'!$A$1:$BC$69</definedName>
    <definedName name="_xlnm.Print_Area" localSheetId="3">'DPK-8 Filtered Summary'!$A$12:$BC$68,'DPK-8 Filtered Summary'!$A$73:$BC$130,'DPK-8 Filtered Summary'!$A$134:$BC$191,'DPK-8 Filtered Summary'!$A$195:$BC$252,'DPK-8 Filtered Summary'!$A$256:$BC$313</definedName>
    <definedName name="_xlnm.Print_Area" localSheetId="11">'SEF-NOI-RB p1 Gas wp'!$A$1:$N$45</definedName>
    <definedName name="_xlnm.Print_Area" localSheetId="12">'SEF-NOI-RB p2 Gas wp'!$A$1:$H$49</definedName>
    <definedName name="_xlnm.Print_Area" localSheetId="1">'Summary DPK-7 '!$A$1:$M$82</definedName>
    <definedName name="_xlnm.Print_Titles" localSheetId="2">'Detailed Summary'!$A:$B</definedName>
    <definedName name="_xlnm.Print_Titles" localSheetId="3">'DPK-8 Filtered Summary'!$A:$B,'DPK-8 Filtered Summary'!$1:$11</definedName>
    <definedName name="RateCase">'Named Ranges E'!$B$8</definedName>
    <definedName name="RateYear1">'Named Ranges E'!$B$4</definedName>
    <definedName name="RateYear2">'Named Ranges E'!$B$5</definedName>
    <definedName name="RateYear3">'Named Ranges E'!$B$6</definedName>
    <definedName name="TestYear">'Named Ranges E'!$B$3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0" i="1" l="1"/>
  <c r="C103" i="1"/>
  <c r="C102" i="1"/>
  <c r="A259" i="58" l="1"/>
  <c r="A260" i="58" s="1"/>
  <c r="A261" i="58" s="1"/>
  <c r="A262" i="58" s="1"/>
  <c r="A263" i="58" s="1"/>
  <c r="A264" i="58" s="1"/>
  <c r="A265" i="58" s="1"/>
  <c r="A266" i="58" s="1"/>
  <c r="A267" i="58" s="1"/>
  <c r="A268" i="58" s="1"/>
  <c r="A269" i="58" s="1"/>
  <c r="A270" i="58" s="1"/>
  <c r="A271" i="58" s="1"/>
  <c r="A272" i="58" s="1"/>
  <c r="A273" i="58" s="1"/>
  <c r="A274" i="58" s="1"/>
  <c r="A275" i="58" s="1"/>
  <c r="A276" i="58" s="1"/>
  <c r="A277" i="58" s="1"/>
  <c r="A278" i="58" s="1"/>
  <c r="A279" i="58" s="1"/>
  <c r="A280" i="58" s="1"/>
  <c r="A281" i="58" s="1"/>
  <c r="A282" i="58" s="1"/>
  <c r="A283" i="58" s="1"/>
  <c r="A284" i="58" s="1"/>
  <c r="A285" i="58" s="1"/>
  <c r="A286" i="58" s="1"/>
  <c r="A287" i="58" s="1"/>
  <c r="A288" i="58" s="1"/>
  <c r="A289" i="58" s="1"/>
  <c r="A290" i="58" s="1"/>
  <c r="A291" i="58" s="1"/>
  <c r="A292" i="58" s="1"/>
  <c r="A293" i="58" s="1"/>
  <c r="A294" i="58" s="1"/>
  <c r="A295" i="58" s="1"/>
  <c r="A296" i="58" s="1"/>
  <c r="A297" i="58" s="1"/>
  <c r="A298" i="58" s="1"/>
  <c r="A299" i="58" s="1"/>
  <c r="A300" i="58" s="1"/>
  <c r="A301" i="58" s="1"/>
  <c r="A302" i="58" s="1"/>
  <c r="A303" i="58" s="1"/>
  <c r="A304" i="58" s="1"/>
  <c r="A305" i="58" s="1"/>
  <c r="A306" i="58" s="1"/>
  <c r="A307" i="58" s="1"/>
  <c r="A308" i="58" s="1"/>
  <c r="A309" i="58" s="1"/>
  <c r="A310" i="58" s="1"/>
  <c r="A311" i="58" s="1"/>
  <c r="A312" i="58" s="1"/>
  <c r="A313" i="58" s="1"/>
  <c r="A314" i="58" s="1"/>
  <c r="A315" i="58" s="1"/>
  <c r="A198" i="58"/>
  <c r="A199" i="58" s="1"/>
  <c r="A200" i="58" s="1"/>
  <c r="A201" i="58" s="1"/>
  <c r="A202" i="58" s="1"/>
  <c r="A203" i="58" s="1"/>
  <c r="A204" i="58" s="1"/>
  <c r="A205" i="58" s="1"/>
  <c r="A206" i="58" s="1"/>
  <c r="A207" i="58" s="1"/>
  <c r="A208" i="58" s="1"/>
  <c r="A209" i="58" s="1"/>
  <c r="A210" i="58" s="1"/>
  <c r="A211" i="58" s="1"/>
  <c r="A212" i="58" s="1"/>
  <c r="A213" i="58" s="1"/>
  <c r="A214" i="58" s="1"/>
  <c r="A215" i="58" s="1"/>
  <c r="A216" i="58" s="1"/>
  <c r="A217" i="58" s="1"/>
  <c r="A218" i="58" s="1"/>
  <c r="A219" i="58" s="1"/>
  <c r="A220" i="58" s="1"/>
  <c r="A221" i="58" s="1"/>
  <c r="A222" i="58" s="1"/>
  <c r="A223" i="58" s="1"/>
  <c r="A224" i="58" s="1"/>
  <c r="A225" i="58" s="1"/>
  <c r="A226" i="58" s="1"/>
  <c r="A227" i="58" s="1"/>
  <c r="A228" i="58" s="1"/>
  <c r="A229" i="58" s="1"/>
  <c r="A230" i="58" s="1"/>
  <c r="A231" i="58" s="1"/>
  <c r="A232" i="58" s="1"/>
  <c r="A233" i="58" s="1"/>
  <c r="A234" i="58" s="1"/>
  <c r="A235" i="58" s="1"/>
  <c r="A236" i="58" s="1"/>
  <c r="A237" i="58" s="1"/>
  <c r="A238" i="58" s="1"/>
  <c r="A239" i="58" s="1"/>
  <c r="A240" i="58" s="1"/>
  <c r="A241" i="58" s="1"/>
  <c r="A242" i="58" s="1"/>
  <c r="A243" i="58" s="1"/>
  <c r="A244" i="58" s="1"/>
  <c r="A245" i="58" s="1"/>
  <c r="A246" i="58" s="1"/>
  <c r="A247" i="58" s="1"/>
  <c r="A248" i="58" s="1"/>
  <c r="A249" i="58" s="1"/>
  <c r="A250" i="58" s="1"/>
  <c r="A251" i="58" s="1"/>
  <c r="A252" i="58" s="1"/>
  <c r="A253" i="58" s="1"/>
  <c r="A254" i="58" s="1"/>
  <c r="A137" i="58"/>
  <c r="A138" i="58" s="1"/>
  <c r="A139" i="58" s="1"/>
  <c r="A140" i="58" s="1"/>
  <c r="A141" i="58" s="1"/>
  <c r="A142" i="58" s="1"/>
  <c r="A143" i="58" s="1"/>
  <c r="A144" i="58" s="1"/>
  <c r="A145" i="58" s="1"/>
  <c r="A146" i="58" s="1"/>
  <c r="A147" i="58" s="1"/>
  <c r="A148" i="58" s="1"/>
  <c r="A149" i="58" s="1"/>
  <c r="A150" i="58" s="1"/>
  <c r="A151" i="58" s="1"/>
  <c r="A152" i="58" s="1"/>
  <c r="A153" i="58" s="1"/>
  <c r="A154" i="58" s="1"/>
  <c r="A155" i="58" s="1"/>
  <c r="A156" i="58" s="1"/>
  <c r="A157" i="58" s="1"/>
  <c r="A158" i="58" s="1"/>
  <c r="A159" i="58" s="1"/>
  <c r="A160" i="58" s="1"/>
  <c r="A161" i="58" s="1"/>
  <c r="A162" i="58" s="1"/>
  <c r="A163" i="58" s="1"/>
  <c r="A164" i="58" s="1"/>
  <c r="A165" i="58" s="1"/>
  <c r="A166" i="58" s="1"/>
  <c r="A167" i="58" s="1"/>
  <c r="A168" i="58" s="1"/>
  <c r="A169" i="58" s="1"/>
  <c r="A170" i="58" s="1"/>
  <c r="A171" i="58" s="1"/>
  <c r="A172" i="58" s="1"/>
  <c r="A173" i="58" s="1"/>
  <c r="A174" i="58" s="1"/>
  <c r="A175" i="58" s="1"/>
  <c r="A176" i="58" s="1"/>
  <c r="A177" i="58" s="1"/>
  <c r="A178" i="58" s="1"/>
  <c r="A179" i="58" s="1"/>
  <c r="A180" i="58" s="1"/>
  <c r="A181" i="58" s="1"/>
  <c r="A182" i="58" s="1"/>
  <c r="A183" i="58" s="1"/>
  <c r="A184" i="58" s="1"/>
  <c r="A185" i="58" s="1"/>
  <c r="A186" i="58" s="1"/>
  <c r="A187" i="58" s="1"/>
  <c r="A188" i="58" s="1"/>
  <c r="A189" i="58" s="1"/>
  <c r="A190" i="58" s="1"/>
  <c r="A191" i="58" s="1"/>
  <c r="A192" i="58" s="1"/>
  <c r="A193" i="58" s="1"/>
  <c r="A78" i="58"/>
  <c r="A79" i="58"/>
  <c r="A80" i="58" s="1"/>
  <c r="A81" i="58" s="1"/>
  <c r="A82" i="58" s="1"/>
  <c r="A83" i="58" s="1"/>
  <c r="A84" i="58" s="1"/>
  <c r="A85" i="58" s="1"/>
  <c r="A86" i="58" s="1"/>
  <c r="A87" i="58" s="1"/>
  <c r="A88" i="58" s="1"/>
  <c r="A89" i="58" s="1"/>
  <c r="A90" i="58" s="1"/>
  <c r="A91" i="58" s="1"/>
  <c r="A92" i="58" s="1"/>
  <c r="A93" i="58" s="1"/>
  <c r="A94" i="58" s="1"/>
  <c r="A95" i="58" s="1"/>
  <c r="A96" i="58" s="1"/>
  <c r="A97" i="58" s="1"/>
  <c r="A98" i="58" s="1"/>
  <c r="A99" i="58" s="1"/>
  <c r="A100" i="58" s="1"/>
  <c r="A101" i="58" s="1"/>
  <c r="A102" i="58" s="1"/>
  <c r="A103" i="58" s="1"/>
  <c r="A104" i="58" s="1"/>
  <c r="A105" i="58" s="1"/>
  <c r="A106" i="58" s="1"/>
  <c r="A107" i="58" s="1"/>
  <c r="A108" i="58" s="1"/>
  <c r="A109" i="58" s="1"/>
  <c r="A110" i="58" s="1"/>
  <c r="A111" i="58" s="1"/>
  <c r="A112" i="58" s="1"/>
  <c r="A113" i="58" s="1"/>
  <c r="A114" i="58" s="1"/>
  <c r="A115" i="58" s="1"/>
  <c r="A116" i="58" s="1"/>
  <c r="A117" i="58" s="1"/>
  <c r="A118" i="58" s="1"/>
  <c r="A119" i="58" s="1"/>
  <c r="A120" i="58" s="1"/>
  <c r="A121" i="58" s="1"/>
  <c r="A122" i="58" s="1"/>
  <c r="A123" i="58" s="1"/>
  <c r="A124" i="58" s="1"/>
  <c r="A125" i="58" s="1"/>
  <c r="A126" i="58" s="1"/>
  <c r="A127" i="58" s="1"/>
  <c r="A128" i="58" s="1"/>
  <c r="A129" i="58" s="1"/>
  <c r="A130" i="58" s="1"/>
  <c r="A131" i="58" s="1"/>
  <c r="A132" i="58" s="1"/>
  <c r="A133" i="58" s="1"/>
  <c r="A77" i="58"/>
  <c r="A70" i="58"/>
  <c r="A71" i="58"/>
  <c r="A72" i="58" s="1"/>
  <c r="A17" i="58"/>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61" i="58" s="1"/>
  <c r="A62" i="58" s="1"/>
  <c r="A63" i="58" s="1"/>
  <c r="A64" i="58" s="1"/>
  <c r="A65" i="58" s="1"/>
  <c r="A66" i="58" s="1"/>
  <c r="A67" i="58" s="1"/>
  <c r="A68" i="58" s="1"/>
  <c r="A69" i="58" s="1"/>
  <c r="A16" i="58"/>
  <c r="AS436" i="58"/>
  <c r="AR436" i="58"/>
  <c r="AD436" i="58"/>
  <c r="M436" i="58"/>
  <c r="K436" i="58"/>
  <c r="H436" i="58"/>
  <c r="F436" i="58"/>
  <c r="BC435" i="58"/>
  <c r="BB435" i="58"/>
  <c r="R430" i="58"/>
  <c r="J430" i="58"/>
  <c r="AS429" i="58"/>
  <c r="BC428" i="58"/>
  <c r="BB428" i="58"/>
  <c r="AS428" i="58"/>
  <c r="AR428" i="58"/>
  <c r="AQ428" i="58"/>
  <c r="AP428" i="58"/>
  <c r="AI428" i="58"/>
  <c r="AH428" i="58"/>
  <c r="AG428" i="58"/>
  <c r="AF428" i="58"/>
  <c r="AE428" i="58"/>
  <c r="AD428" i="58"/>
  <c r="AC428" i="58"/>
  <c r="AB428" i="58"/>
  <c r="AA428" i="58"/>
  <c r="Z428" i="58"/>
  <c r="Y428" i="58"/>
  <c r="X428" i="58"/>
  <c r="W428" i="58"/>
  <c r="V428" i="58"/>
  <c r="U428" i="58"/>
  <c r="T428" i="58"/>
  <c r="S428" i="58"/>
  <c r="R428" i="58"/>
  <c r="Q428" i="58"/>
  <c r="P428" i="58"/>
  <c r="O428" i="58"/>
  <c r="N428" i="58"/>
  <c r="M428" i="58"/>
  <c r="L428" i="58"/>
  <c r="K428" i="58"/>
  <c r="J428" i="58"/>
  <c r="I428" i="58"/>
  <c r="H428" i="58"/>
  <c r="G428" i="58"/>
  <c r="F428" i="58"/>
  <c r="E428" i="58"/>
  <c r="D428" i="58"/>
  <c r="AS426" i="58"/>
  <c r="AR426" i="58"/>
  <c r="AR430" i="58" s="1"/>
  <c r="AQ426" i="58"/>
  <c r="AP426" i="58"/>
  <c r="AI426" i="58"/>
  <c r="AH426" i="58"/>
  <c r="AG426" i="58"/>
  <c r="AF426" i="58"/>
  <c r="AE426" i="58"/>
  <c r="AC426" i="58"/>
  <c r="AB426" i="58"/>
  <c r="AA426" i="58"/>
  <c r="Z426" i="58"/>
  <c r="Y426" i="58"/>
  <c r="X426" i="58"/>
  <c r="W426" i="58"/>
  <c r="V426" i="58"/>
  <c r="U426" i="58"/>
  <c r="T426" i="58"/>
  <c r="S426" i="58"/>
  <c r="R426" i="58"/>
  <c r="Q426" i="58"/>
  <c r="P426" i="58"/>
  <c r="O426" i="58"/>
  <c r="N426" i="58"/>
  <c r="M426" i="58"/>
  <c r="L426" i="58"/>
  <c r="K426" i="58"/>
  <c r="J426" i="58"/>
  <c r="I426" i="58"/>
  <c r="H426" i="58"/>
  <c r="G426" i="58"/>
  <c r="F426" i="58"/>
  <c r="E426" i="58"/>
  <c r="BB425" i="58"/>
  <c r="BB424" i="58"/>
  <c r="BB423" i="58"/>
  <c r="BC422" i="58"/>
  <c r="BB422" i="58"/>
  <c r="BB421" i="58"/>
  <c r="BC421" i="58" s="1"/>
  <c r="AD421" i="58"/>
  <c r="AD420" i="58"/>
  <c r="AQ415" i="58"/>
  <c r="AR413" i="58"/>
  <c r="AQ413" i="58"/>
  <c r="AQ430" i="58" s="1"/>
  <c r="AG413" i="58"/>
  <c r="AF413" i="58"/>
  <c r="AE413" i="58"/>
  <c r="AC413" i="58"/>
  <c r="Y413" i="58"/>
  <c r="W413" i="58"/>
  <c r="U413" i="58"/>
  <c r="I413" i="58"/>
  <c r="H413" i="58"/>
  <c r="G413" i="58"/>
  <c r="AR411" i="58"/>
  <c r="AQ411" i="58"/>
  <c r="AH411" i="58"/>
  <c r="AG411" i="58"/>
  <c r="AE411" i="58"/>
  <c r="AC411" i="58"/>
  <c r="Z411" i="58"/>
  <c r="Y411" i="58"/>
  <c r="U411" i="58"/>
  <c r="S411" i="58"/>
  <c r="Q411" i="58"/>
  <c r="O411" i="58"/>
  <c r="N411" i="58"/>
  <c r="N413" i="58" s="1"/>
  <c r="M411" i="58"/>
  <c r="M413" i="58" s="1"/>
  <c r="M430" i="58" s="1"/>
  <c r="K411" i="58"/>
  <c r="K413" i="58" s="1"/>
  <c r="G411" i="58"/>
  <c r="BB410" i="58"/>
  <c r="I409" i="58"/>
  <c r="I411" i="58" s="1"/>
  <c r="E408" i="58"/>
  <c r="BB408" i="58" s="1"/>
  <c r="BB407" i="58"/>
  <c r="BC406" i="58"/>
  <c r="BB406" i="58"/>
  <c r="D406" i="58"/>
  <c r="BB405" i="58"/>
  <c r="BB404" i="58"/>
  <c r="BB403" i="58"/>
  <c r="E403" i="58"/>
  <c r="BB402" i="58"/>
  <c r="BB401" i="58"/>
  <c r="BC401" i="58" s="1"/>
  <c r="BB400" i="58"/>
  <c r="BC400" i="58" s="1"/>
  <c r="E400" i="58"/>
  <c r="BB399" i="58"/>
  <c r="BC398" i="58"/>
  <c r="BB398" i="58"/>
  <c r="BB397" i="58"/>
  <c r="AS395" i="58"/>
  <c r="AS411" i="58" s="1"/>
  <c r="AR395" i="58"/>
  <c r="AQ395" i="58"/>
  <c r="AP395" i="58"/>
  <c r="AP411" i="58" s="1"/>
  <c r="AI395" i="58"/>
  <c r="AI411" i="58" s="1"/>
  <c r="AI413" i="58" s="1"/>
  <c r="AH395" i="58"/>
  <c r="AG395" i="58"/>
  <c r="AF395" i="58"/>
  <c r="AF411" i="58" s="1"/>
  <c r="AE395" i="58"/>
  <c r="AD395" i="58"/>
  <c r="AD411" i="58" s="1"/>
  <c r="AC395" i="58"/>
  <c r="AB395" i="58"/>
  <c r="AB411" i="58" s="1"/>
  <c r="AA395" i="58"/>
  <c r="AA411" i="58" s="1"/>
  <c r="Z395" i="58"/>
  <c r="Y395" i="58"/>
  <c r="X395" i="58"/>
  <c r="X411" i="58" s="1"/>
  <c r="W395" i="58"/>
  <c r="W411" i="58" s="1"/>
  <c r="V395" i="58"/>
  <c r="V411" i="58" s="1"/>
  <c r="U395" i="58"/>
  <c r="T395" i="58"/>
  <c r="T411" i="58" s="1"/>
  <c r="T413" i="58" s="1"/>
  <c r="S395" i="58"/>
  <c r="R395" i="58"/>
  <c r="R411" i="58" s="1"/>
  <c r="Q395" i="58"/>
  <c r="P395" i="58"/>
  <c r="P411" i="58" s="1"/>
  <c r="O395" i="58"/>
  <c r="N395" i="58"/>
  <c r="M395" i="58"/>
  <c r="L395" i="58"/>
  <c r="L411" i="58" s="1"/>
  <c r="K395" i="58"/>
  <c r="J395" i="58"/>
  <c r="J411" i="58" s="1"/>
  <c r="I395" i="58"/>
  <c r="H395" i="58"/>
  <c r="H411" i="58" s="1"/>
  <c r="G395" i="58"/>
  <c r="F395" i="58"/>
  <c r="F411" i="58" s="1"/>
  <c r="E395" i="58"/>
  <c r="BB394" i="58"/>
  <c r="BB393" i="58"/>
  <c r="BB395" i="58" s="1"/>
  <c r="BB392" i="58"/>
  <c r="BB391" i="58"/>
  <c r="BC391" i="58" s="1"/>
  <c r="D391" i="58"/>
  <c r="BB386" i="58"/>
  <c r="AS386" i="58"/>
  <c r="AR386" i="58"/>
  <c r="AQ386" i="58"/>
  <c r="AP386" i="58"/>
  <c r="AI386" i="58"/>
  <c r="AH386" i="58"/>
  <c r="AH413" i="58" s="1"/>
  <c r="AG386" i="58"/>
  <c r="AF386" i="58"/>
  <c r="AE386" i="58"/>
  <c r="AD386" i="58"/>
  <c r="AD413" i="58" s="1"/>
  <c r="AC386" i="58"/>
  <c r="AB386" i="58"/>
  <c r="AB413" i="58" s="1"/>
  <c r="AA386" i="58"/>
  <c r="Z386" i="58"/>
  <c r="Z413" i="58" s="1"/>
  <c r="Z436" i="58" s="1"/>
  <c r="Y386" i="58"/>
  <c r="X386" i="58"/>
  <c r="W386" i="58"/>
  <c r="V386" i="58"/>
  <c r="V413" i="58" s="1"/>
  <c r="U386" i="58"/>
  <c r="T386" i="58"/>
  <c r="S386" i="58"/>
  <c r="R386" i="58"/>
  <c r="R413" i="58" s="1"/>
  <c r="R436" i="58" s="1"/>
  <c r="Q386" i="58"/>
  <c r="P386" i="58"/>
  <c r="P413" i="58" s="1"/>
  <c r="O386" i="58"/>
  <c r="N386" i="58"/>
  <c r="M386" i="58"/>
  <c r="L386" i="58"/>
  <c r="K386" i="58"/>
  <c r="J386" i="58"/>
  <c r="J413" i="58" s="1"/>
  <c r="I386" i="58"/>
  <c r="H386" i="58"/>
  <c r="G386" i="58"/>
  <c r="F386" i="58"/>
  <c r="F413" i="58" s="1"/>
  <c r="BB385" i="58"/>
  <c r="BB384" i="58"/>
  <c r="D384" i="58"/>
  <c r="BC384" i="58" s="1"/>
  <c r="BB383" i="58"/>
  <c r="BB382" i="58"/>
  <c r="E382" i="58"/>
  <c r="E386" i="58" s="1"/>
  <c r="AZ375" i="58"/>
  <c r="AY375" i="58"/>
  <c r="AX375" i="58"/>
  <c r="AW375" i="58"/>
  <c r="AV375" i="58"/>
  <c r="AU375" i="58"/>
  <c r="AT375" i="58"/>
  <c r="AF375" i="58"/>
  <c r="AD375" i="58"/>
  <c r="L375" i="58"/>
  <c r="K375" i="58"/>
  <c r="BC374" i="58"/>
  <c r="BB374" i="58"/>
  <c r="AF369" i="58"/>
  <c r="X369" i="58"/>
  <c r="U369" i="58"/>
  <c r="T369" i="58"/>
  <c r="F369" i="58"/>
  <c r="AS368" i="58"/>
  <c r="BC367" i="58"/>
  <c r="BB367" i="58"/>
  <c r="AS367" i="58"/>
  <c r="AR367" i="58"/>
  <c r="AQ367" i="58"/>
  <c r="AP367" i="58"/>
  <c r="AI367" i="58"/>
  <c r="AH367" i="58"/>
  <c r="AG367" i="58"/>
  <c r="AF367" i="58"/>
  <c r="AE367" i="58"/>
  <c r="AD367" i="58"/>
  <c r="AC367" i="58"/>
  <c r="AB367" i="58"/>
  <c r="AA367" i="58"/>
  <c r="Z367" i="58"/>
  <c r="Y367" i="58"/>
  <c r="X367" i="58"/>
  <c r="W367" i="58"/>
  <c r="V367" i="58"/>
  <c r="U367" i="58"/>
  <c r="T367" i="58"/>
  <c r="S367" i="58"/>
  <c r="R367" i="58"/>
  <c r="Q367" i="58"/>
  <c r="P367" i="58"/>
  <c r="O367" i="58"/>
  <c r="N367" i="58"/>
  <c r="M367" i="58"/>
  <c r="L367" i="58"/>
  <c r="K367" i="58"/>
  <c r="J367" i="58"/>
  <c r="I367" i="58"/>
  <c r="H367" i="58"/>
  <c r="G367" i="58"/>
  <c r="F367" i="58"/>
  <c r="E367" i="58"/>
  <c r="D367" i="58"/>
  <c r="AS365" i="58"/>
  <c r="AR365" i="58"/>
  <c r="AQ365" i="58"/>
  <c r="AP365" i="58"/>
  <c r="AI365" i="58"/>
  <c r="AH365" i="58"/>
  <c r="AG365" i="58"/>
  <c r="AF365" i="58"/>
  <c r="AE365" i="58"/>
  <c r="AD365" i="58"/>
  <c r="AC365" i="58"/>
  <c r="AB365" i="58"/>
  <c r="AA365" i="58"/>
  <c r="Z365" i="58"/>
  <c r="Y365" i="58"/>
  <c r="X365" i="58"/>
  <c r="W365" i="58"/>
  <c r="V365" i="58"/>
  <c r="U365" i="58"/>
  <c r="T365" i="58"/>
  <c r="S365" i="58"/>
  <c r="R365" i="58"/>
  <c r="Q365" i="58"/>
  <c r="P365" i="58"/>
  <c r="O365" i="58"/>
  <c r="N365" i="58"/>
  <c r="M365" i="58"/>
  <c r="L365" i="58"/>
  <c r="K365" i="58"/>
  <c r="J365" i="58"/>
  <c r="I365" i="58"/>
  <c r="H365" i="58"/>
  <c r="G365" i="58"/>
  <c r="F365" i="58"/>
  <c r="E365" i="58"/>
  <c r="D365" i="58"/>
  <c r="D354" i="58" s="1"/>
  <c r="BC364" i="58"/>
  <c r="D425" i="58" s="1"/>
  <c r="BB364" i="58"/>
  <c r="BB363" i="58"/>
  <c r="BC362" i="58"/>
  <c r="D423" i="58" s="1"/>
  <c r="BC423" i="58" s="1"/>
  <c r="BB362" i="58"/>
  <c r="BC361" i="58"/>
  <c r="D422" i="58" s="1"/>
  <c r="BB361" i="58"/>
  <c r="BC360" i="58"/>
  <c r="D421" i="58" s="1"/>
  <c r="BB360" i="58"/>
  <c r="BB359" i="58"/>
  <c r="BC359" i="58" s="1"/>
  <c r="AQ354" i="58"/>
  <c r="AP352" i="58"/>
  <c r="AH352" i="58"/>
  <c r="X352" i="58"/>
  <c r="U352" i="58"/>
  <c r="U375" i="58" s="1"/>
  <c r="T352" i="58"/>
  <c r="I352" i="58"/>
  <c r="H352" i="58"/>
  <c r="H369" i="58" s="1"/>
  <c r="G352" i="58"/>
  <c r="F352" i="58"/>
  <c r="D352" i="58"/>
  <c r="AG350" i="58"/>
  <c r="AG352" i="58" s="1"/>
  <c r="AF350" i="58"/>
  <c r="AB350" i="58"/>
  <c r="X350" i="58"/>
  <c r="W350" i="58"/>
  <c r="W352" i="58" s="1"/>
  <c r="V350" i="58"/>
  <c r="V352" i="58" s="1"/>
  <c r="U350" i="58"/>
  <c r="T350" i="58"/>
  <c r="R350" i="58"/>
  <c r="R352" i="58" s="1"/>
  <c r="P350" i="58"/>
  <c r="K350" i="58"/>
  <c r="I350" i="58"/>
  <c r="H350" i="58"/>
  <c r="G350" i="58"/>
  <c r="D350" i="58"/>
  <c r="BC349" i="58"/>
  <c r="D410" i="58" s="1"/>
  <c r="BB349" i="58"/>
  <c r="I348" i="58"/>
  <c r="E347" i="58"/>
  <c r="BB347" i="58" s="1"/>
  <c r="BC347" i="58" s="1"/>
  <c r="D408" i="58" s="1"/>
  <c r="BC408" i="58" s="1"/>
  <c r="BC346" i="58"/>
  <c r="D407" i="58" s="1"/>
  <c r="BC407" i="58" s="1"/>
  <c r="BB346" i="58"/>
  <c r="BC345" i="58"/>
  <c r="BB345" i="58"/>
  <c r="BC344" i="58"/>
  <c r="D405" i="58" s="1"/>
  <c r="BC405" i="58" s="1"/>
  <c r="BB344" i="58"/>
  <c r="BC343" i="58"/>
  <c r="D404" i="58" s="1"/>
  <c r="BB343" i="58"/>
  <c r="E342" i="58"/>
  <c r="BB342" i="58" s="1"/>
  <c r="BC342" i="58" s="1"/>
  <c r="D403" i="58" s="1"/>
  <c r="BB341" i="58"/>
  <c r="BC341" i="58" s="1"/>
  <c r="D402" i="58" s="1"/>
  <c r="BC402" i="58" s="1"/>
  <c r="BB340" i="58"/>
  <c r="BC340" i="58" s="1"/>
  <c r="D401" i="58" s="1"/>
  <c r="E339" i="58"/>
  <c r="BB339" i="58" s="1"/>
  <c r="BC339" i="58" s="1"/>
  <c r="D400" i="58" s="1"/>
  <c r="BC338" i="58"/>
  <c r="D399" i="58" s="1"/>
  <c r="BB338" i="58"/>
  <c r="BB337" i="58"/>
  <c r="BC337" i="58" s="1"/>
  <c r="D398" i="58" s="1"/>
  <c r="BC336" i="58"/>
  <c r="D397" i="58" s="1"/>
  <c r="BC397" i="58" s="1"/>
  <c r="BB336" i="58"/>
  <c r="AS334" i="58"/>
  <c r="AS350" i="58" s="1"/>
  <c r="AR334" i="58"/>
  <c r="AR350" i="58" s="1"/>
  <c r="AR352" i="58" s="1"/>
  <c r="AQ334" i="58"/>
  <c r="AQ350" i="58" s="1"/>
  <c r="AQ352" i="58" s="1"/>
  <c r="AP334" i="58"/>
  <c r="AP350" i="58" s="1"/>
  <c r="AI334" i="58"/>
  <c r="AI350" i="58" s="1"/>
  <c r="AH334" i="58"/>
  <c r="AH350" i="58" s="1"/>
  <c r="AG334" i="58"/>
  <c r="AF334" i="58"/>
  <c r="AE334" i="58"/>
  <c r="AE350" i="58" s="1"/>
  <c r="AE352" i="58" s="1"/>
  <c r="AD334" i="58"/>
  <c r="AD350" i="58" s="1"/>
  <c r="AD352" i="58" s="1"/>
  <c r="AC334" i="58"/>
  <c r="AC350" i="58" s="1"/>
  <c r="AB334" i="58"/>
  <c r="AA334" i="58"/>
  <c r="AA350" i="58" s="1"/>
  <c r="Z334" i="58"/>
  <c r="Z350" i="58" s="1"/>
  <c r="Z352" i="58" s="1"/>
  <c r="Y334" i="58"/>
  <c r="Y350" i="58" s="1"/>
  <c r="Y352" i="58" s="1"/>
  <c r="X334" i="58"/>
  <c r="W334" i="58"/>
  <c r="V334" i="58"/>
  <c r="U334" i="58"/>
  <c r="T334" i="58"/>
  <c r="S334" i="58"/>
  <c r="S350" i="58" s="1"/>
  <c r="S352" i="58" s="1"/>
  <c r="R334" i="58"/>
  <c r="Q334" i="58"/>
  <c r="Q350" i="58" s="1"/>
  <c r="P334" i="58"/>
  <c r="O334" i="58"/>
  <c r="O350" i="58" s="1"/>
  <c r="N334" i="58"/>
  <c r="N350" i="58" s="1"/>
  <c r="N352" i="58" s="1"/>
  <c r="M334" i="58"/>
  <c r="M350" i="58" s="1"/>
  <c r="L334" i="58"/>
  <c r="L350" i="58" s="1"/>
  <c r="K334" i="58"/>
  <c r="J334" i="58"/>
  <c r="J350" i="58" s="1"/>
  <c r="J352" i="58" s="1"/>
  <c r="I334" i="58"/>
  <c r="H334" i="58"/>
  <c r="G334" i="58"/>
  <c r="F334" i="58"/>
  <c r="F350" i="58" s="1"/>
  <c r="E334" i="58"/>
  <c r="D334" i="58"/>
  <c r="BB333" i="58"/>
  <c r="BC333" i="58" s="1"/>
  <c r="D394" i="58" s="1"/>
  <c r="BC394" i="58" s="1"/>
  <c r="BC332" i="58"/>
  <c r="D393" i="58" s="1"/>
  <c r="BB332" i="58"/>
  <c r="BB331" i="58"/>
  <c r="BC331" i="58" s="1"/>
  <c r="BC330" i="58"/>
  <c r="BB330" i="58"/>
  <c r="AS325" i="58"/>
  <c r="AR325" i="58"/>
  <c r="AQ325" i="58"/>
  <c r="AP325" i="58"/>
  <c r="AI325" i="58"/>
  <c r="AI352" i="58" s="1"/>
  <c r="AH325" i="58"/>
  <c r="AG325" i="58"/>
  <c r="AF325" i="58"/>
  <c r="AF352" i="58" s="1"/>
  <c r="AE325" i="58"/>
  <c r="AD325" i="58"/>
  <c r="AC325" i="58"/>
  <c r="AC352" i="58" s="1"/>
  <c r="AB325" i="58"/>
  <c r="AA325" i="58"/>
  <c r="Z325" i="58"/>
  <c r="Y325" i="58"/>
  <c r="X325" i="58"/>
  <c r="W325" i="58"/>
  <c r="V325" i="58"/>
  <c r="U325" i="58"/>
  <c r="T325" i="58"/>
  <c r="S325" i="58"/>
  <c r="R325" i="58"/>
  <c r="Q325" i="58"/>
  <c r="Q352" i="58" s="1"/>
  <c r="P325" i="58"/>
  <c r="P352" i="58" s="1"/>
  <c r="O325" i="58"/>
  <c r="N325" i="58"/>
  <c r="M325" i="58"/>
  <c r="L325" i="58"/>
  <c r="L352" i="58" s="1"/>
  <c r="K325" i="58"/>
  <c r="K352" i="58" s="1"/>
  <c r="J325" i="58"/>
  <c r="I325" i="58"/>
  <c r="H325" i="58"/>
  <c r="G325" i="58"/>
  <c r="F325" i="58"/>
  <c r="E325" i="58"/>
  <c r="D325" i="58"/>
  <c r="BC324" i="58"/>
  <c r="D385" i="58" s="1"/>
  <c r="BC385" i="58" s="1"/>
  <c r="BB324" i="58"/>
  <c r="BB323" i="58"/>
  <c r="BC323" i="58" s="1"/>
  <c r="BC322" i="58"/>
  <c r="D383" i="58" s="1"/>
  <c r="BB322" i="58"/>
  <c r="BB321" i="58"/>
  <c r="E321" i="58"/>
  <c r="AM314" i="58"/>
  <c r="BC313" i="58"/>
  <c r="BB313" i="58"/>
  <c r="AM308" i="58"/>
  <c r="AS307" i="58"/>
  <c r="BC306" i="58"/>
  <c r="BB306" i="58"/>
  <c r="AR306" i="58"/>
  <c r="AS306" i="58" s="1"/>
  <c r="AQ306" i="58"/>
  <c r="AP306" i="58"/>
  <c r="AO306" i="58"/>
  <c r="AN306" i="58"/>
  <c r="AM306" i="58"/>
  <c r="AL306" i="58"/>
  <c r="AK306" i="58"/>
  <c r="AJ306" i="58"/>
  <c r="AI306" i="58"/>
  <c r="AH306" i="58"/>
  <c r="AG306" i="58"/>
  <c r="AF306" i="58"/>
  <c r="AE306" i="58"/>
  <c r="AD306" i="58"/>
  <c r="AC306" i="58"/>
  <c r="AB306" i="58"/>
  <c r="AA306" i="58"/>
  <c r="Z306" i="58"/>
  <c r="Y306" i="58"/>
  <c r="X306" i="58"/>
  <c r="W306" i="58"/>
  <c r="V306" i="58"/>
  <c r="U306" i="58"/>
  <c r="T306" i="58"/>
  <c r="S306" i="58"/>
  <c r="R306" i="58"/>
  <c r="Q306" i="58"/>
  <c r="P306" i="58"/>
  <c r="O306" i="58"/>
  <c r="N306" i="58"/>
  <c r="M306" i="58"/>
  <c r="L306" i="58"/>
  <c r="K306" i="58"/>
  <c r="J306" i="58"/>
  <c r="I306" i="58"/>
  <c r="H306" i="58"/>
  <c r="G306" i="58"/>
  <c r="F306" i="58"/>
  <c r="E306" i="58"/>
  <c r="D306" i="58"/>
  <c r="AP304" i="58"/>
  <c r="AO304" i="58"/>
  <c r="AM304" i="58"/>
  <c r="AM293" i="58" s="1"/>
  <c r="AK304" i="58"/>
  <c r="AK293" i="58" s="1"/>
  <c r="AI304" i="58"/>
  <c r="AI293" i="58" s="1"/>
  <c r="AF304" i="58"/>
  <c r="AC304" i="58"/>
  <c r="AB304" i="58"/>
  <c r="AA304" i="58"/>
  <c r="Z304" i="58"/>
  <c r="Z293" i="58" s="1"/>
  <c r="Y304" i="58"/>
  <c r="X304" i="58"/>
  <c r="W304" i="58"/>
  <c r="W293" i="58" s="1"/>
  <c r="V304" i="58"/>
  <c r="U304" i="58"/>
  <c r="T304" i="58"/>
  <c r="T293" i="58" s="1"/>
  <c r="S304" i="58"/>
  <c r="R304" i="58"/>
  <c r="R293" i="58" s="1"/>
  <c r="Q304" i="58"/>
  <c r="P304" i="58"/>
  <c r="P293" i="58" s="1"/>
  <c r="O304" i="58"/>
  <c r="N304" i="58"/>
  <c r="N293" i="58" s="1"/>
  <c r="M304" i="58"/>
  <c r="L304" i="58"/>
  <c r="K304" i="58"/>
  <c r="J304" i="58"/>
  <c r="I304" i="58"/>
  <c r="H304" i="58"/>
  <c r="G304" i="58"/>
  <c r="F304" i="58"/>
  <c r="F293" i="58" s="1"/>
  <c r="E304" i="58"/>
  <c r="BB303" i="58"/>
  <c r="BB302" i="58"/>
  <c r="AS301" i="58"/>
  <c r="AR301" i="58"/>
  <c r="AQ301" i="58"/>
  <c r="AN301" i="58"/>
  <c r="AN304" i="58" s="1"/>
  <c r="AN293" i="58" s="1"/>
  <c r="AL301" i="58"/>
  <c r="AL304" i="58" s="1"/>
  <c r="AL293" i="58" s="1"/>
  <c r="AJ301" i="58"/>
  <c r="AJ304" i="58" s="1"/>
  <c r="AJ293" i="58" s="1"/>
  <c r="AI301" i="58"/>
  <c r="AH301" i="58"/>
  <c r="AG301" i="58"/>
  <c r="AE301" i="58"/>
  <c r="AQ300" i="58"/>
  <c r="AL300" i="58"/>
  <c r="AF300" i="58"/>
  <c r="AS299" i="58"/>
  <c r="AR299" i="58"/>
  <c r="AR304" i="58" s="1"/>
  <c r="AR293" i="58" s="1"/>
  <c r="AN299" i="58"/>
  <c r="AJ299" i="58"/>
  <c r="AI299" i="58"/>
  <c r="AH299" i="58"/>
  <c r="AG299" i="58"/>
  <c r="AF299" i="58"/>
  <c r="AE299" i="58"/>
  <c r="AE304" i="58" s="1"/>
  <c r="AE293" i="58" s="1"/>
  <c r="AD299" i="58"/>
  <c r="AD304" i="58" s="1"/>
  <c r="AD293" i="58" s="1"/>
  <c r="AS298" i="58"/>
  <c r="AR298" i="58"/>
  <c r="AJ298" i="58"/>
  <c r="AI298" i="58"/>
  <c r="AH298" i="58"/>
  <c r="AH304" i="58" s="1"/>
  <c r="AH293" i="58" s="1"/>
  <c r="AG298" i="58"/>
  <c r="AG304" i="58" s="1"/>
  <c r="AG293" i="58" s="1"/>
  <c r="AD298" i="58"/>
  <c r="AP293" i="58"/>
  <c r="AF293" i="58"/>
  <c r="AC293" i="58"/>
  <c r="AB293" i="58"/>
  <c r="AA293" i="58"/>
  <c r="Y293" i="58"/>
  <c r="X293" i="58"/>
  <c r="V293" i="58"/>
  <c r="U293" i="58"/>
  <c r="S293" i="58"/>
  <c r="Q293" i="58"/>
  <c r="O293" i="58"/>
  <c r="M293" i="58"/>
  <c r="L293" i="58"/>
  <c r="K293" i="58"/>
  <c r="J293" i="58"/>
  <c r="I293" i="58"/>
  <c r="H293" i="58"/>
  <c r="G293" i="58"/>
  <c r="E293" i="58"/>
  <c r="AO291" i="58"/>
  <c r="AN291" i="58"/>
  <c r="AM291" i="58"/>
  <c r="AA291" i="58"/>
  <c r="P291" i="58"/>
  <c r="P308" i="58" s="1"/>
  <c r="F291" i="58"/>
  <c r="AR289" i="58"/>
  <c r="AR291" i="58" s="1"/>
  <c r="AO289" i="58"/>
  <c r="AN289" i="58"/>
  <c r="AK289" i="58"/>
  <c r="AC289" i="58"/>
  <c r="AB289" i="58"/>
  <c r="AB291" i="58" s="1"/>
  <c r="AA289" i="58"/>
  <c r="X289" i="58"/>
  <c r="X291" i="58" s="1"/>
  <c r="W289" i="58"/>
  <c r="T289" i="58"/>
  <c r="Q289" i="58"/>
  <c r="K289" i="58"/>
  <c r="J289" i="58"/>
  <c r="I289" i="58"/>
  <c r="H289" i="58"/>
  <c r="G289" i="58"/>
  <c r="BB288" i="58"/>
  <c r="H288" i="58"/>
  <c r="AS287" i="58"/>
  <c r="AR287" i="58"/>
  <c r="AQ287" i="58"/>
  <c r="AO287" i="58"/>
  <c r="AL287" i="58"/>
  <c r="AJ287" i="58"/>
  <c r="AI287" i="58"/>
  <c r="AI289" i="58" s="1"/>
  <c r="AH287" i="58"/>
  <c r="AH289" i="58" s="1"/>
  <c r="AG287" i="58"/>
  <c r="AG289" i="58" s="1"/>
  <c r="AF287" i="58"/>
  <c r="AE287" i="58"/>
  <c r="AC287" i="58"/>
  <c r="Z287" i="58"/>
  <c r="S287" i="58"/>
  <c r="O287" i="58"/>
  <c r="I287" i="58"/>
  <c r="Z286" i="58"/>
  <c r="BB286" i="58" s="1"/>
  <c r="O286" i="58"/>
  <c r="E286" i="58"/>
  <c r="AQ285" i="58"/>
  <c r="AL285" i="58"/>
  <c r="AC285" i="58"/>
  <c r="S285" i="58"/>
  <c r="BB285" i="58" s="1"/>
  <c r="BB284" i="58"/>
  <c r="AS283" i="58"/>
  <c r="AR283" i="58"/>
  <c r="AJ283" i="58"/>
  <c r="AI283" i="58"/>
  <c r="AH283" i="58"/>
  <c r="AG283" i="58"/>
  <c r="AF283" i="58"/>
  <c r="AE283" i="58"/>
  <c r="BB283" i="58" s="1"/>
  <c r="AS282" i="58"/>
  <c r="AR282" i="58"/>
  <c r="AJ282" i="58"/>
  <c r="AI282" i="58"/>
  <c r="AH282" i="58"/>
  <c r="AG282" i="58"/>
  <c r="AF282" i="58"/>
  <c r="AE282" i="58"/>
  <c r="AO281" i="58"/>
  <c r="Z281" i="58"/>
  <c r="BB281" i="58" s="1"/>
  <c r="O281" i="58"/>
  <c r="E281" i="58"/>
  <c r="Z280" i="58"/>
  <c r="BB280" i="58" s="1"/>
  <c r="Z279" i="58"/>
  <c r="O279" i="58"/>
  <c r="BB279" i="58" s="1"/>
  <c r="BB278" i="58"/>
  <c r="Z278" i="58"/>
  <c r="O278" i="58"/>
  <c r="E278" i="58"/>
  <c r="BB277" i="58"/>
  <c r="Z277" i="58"/>
  <c r="O277" i="58"/>
  <c r="Z276" i="58"/>
  <c r="O276" i="58"/>
  <c r="BB276" i="58" s="1"/>
  <c r="Z275" i="58"/>
  <c r="O275" i="58"/>
  <c r="AS273" i="58"/>
  <c r="AS289" i="58" s="1"/>
  <c r="AR273" i="58"/>
  <c r="AQ273" i="58"/>
  <c r="AQ289" i="58" s="1"/>
  <c r="AP273" i="58"/>
  <c r="AP289" i="58" s="1"/>
  <c r="AP291" i="58" s="1"/>
  <c r="AO273" i="58"/>
  <c r="AN273" i="58"/>
  <c r="AM273" i="58"/>
  <c r="AM289" i="58" s="1"/>
  <c r="AL273" i="58"/>
  <c r="AK273" i="58"/>
  <c r="AJ273" i="58"/>
  <c r="AJ289" i="58" s="1"/>
  <c r="AJ291" i="58" s="1"/>
  <c r="AI273" i="58"/>
  <c r="AH273" i="58"/>
  <c r="AG273" i="58"/>
  <c r="AF273" i="58"/>
  <c r="AE273" i="58"/>
  <c r="AE289" i="58" s="1"/>
  <c r="AD273" i="58"/>
  <c r="AD289" i="58" s="1"/>
  <c r="AC273" i="58"/>
  <c r="AB273" i="58"/>
  <c r="AA273" i="58"/>
  <c r="Z273" i="58"/>
  <c r="Y273" i="58"/>
  <c r="Y289" i="58" s="1"/>
  <c r="X273" i="58"/>
  <c r="W273" i="58"/>
  <c r="V273" i="58"/>
  <c r="V289" i="58" s="1"/>
  <c r="U273" i="58"/>
  <c r="U289" i="58" s="1"/>
  <c r="T273" i="58"/>
  <c r="S273" i="58"/>
  <c r="S289" i="58" s="1"/>
  <c r="R273" i="58"/>
  <c r="R289" i="58" s="1"/>
  <c r="Q273" i="58"/>
  <c r="P273" i="58"/>
  <c r="P289" i="58" s="1"/>
  <c r="O273" i="58"/>
  <c r="N273" i="58"/>
  <c r="N289" i="58" s="1"/>
  <c r="N291" i="58" s="1"/>
  <c r="N308" i="58" s="1"/>
  <c r="M273" i="58"/>
  <c r="M289" i="58" s="1"/>
  <c r="L273" i="58"/>
  <c r="L289" i="58" s="1"/>
  <c r="L291" i="58" s="1"/>
  <c r="L314" i="58" s="1"/>
  <c r="K273" i="58"/>
  <c r="J273" i="58"/>
  <c r="I273" i="58"/>
  <c r="H273" i="58"/>
  <c r="G273" i="58"/>
  <c r="F273" i="58"/>
  <c r="F289" i="58" s="1"/>
  <c r="E273" i="58"/>
  <c r="AZ272" i="58"/>
  <c r="AY272" i="58"/>
  <c r="AX272" i="58"/>
  <c r="AW272" i="58"/>
  <c r="AV272" i="58"/>
  <c r="AU272" i="58"/>
  <c r="AT272" i="58"/>
  <c r="AZ271" i="58"/>
  <c r="AY271" i="58"/>
  <c r="AX271" i="58"/>
  <c r="AW271" i="58"/>
  <c r="AV271" i="58"/>
  <c r="AU271" i="58"/>
  <c r="AT271" i="58"/>
  <c r="BB271" i="58" s="1"/>
  <c r="BB270" i="58"/>
  <c r="AZ270" i="58"/>
  <c r="AY270" i="58"/>
  <c r="AX270" i="58"/>
  <c r="AW270" i="58"/>
  <c r="AV270" i="58"/>
  <c r="AU270" i="58"/>
  <c r="AT270" i="58"/>
  <c r="AZ269" i="58"/>
  <c r="AY269" i="58"/>
  <c r="AX269" i="58"/>
  <c r="AW269" i="58"/>
  <c r="AV269" i="58"/>
  <c r="AU269" i="58"/>
  <c r="AT269" i="58"/>
  <c r="AZ268" i="58"/>
  <c r="AY268" i="58"/>
  <c r="AX268" i="58"/>
  <c r="AW268" i="58"/>
  <c r="AV268" i="58"/>
  <c r="AU268" i="58"/>
  <c r="AT268" i="58"/>
  <c r="AS264" i="58"/>
  <c r="AR264" i="58"/>
  <c r="AQ264" i="58"/>
  <c r="AP264" i="58"/>
  <c r="AO264" i="58"/>
  <c r="AN264" i="58"/>
  <c r="AM264" i="58"/>
  <c r="AL264" i="58"/>
  <c r="AK264" i="58"/>
  <c r="AK291" i="58" s="1"/>
  <c r="AJ264" i="58"/>
  <c r="AI264" i="58"/>
  <c r="AH264" i="58"/>
  <c r="AG264" i="58"/>
  <c r="AF264" i="58"/>
  <c r="AE264" i="58"/>
  <c r="AD264" i="58"/>
  <c r="AC264" i="58"/>
  <c r="AB264" i="58"/>
  <c r="AA264" i="58"/>
  <c r="Z264" i="58"/>
  <c r="Y264" i="58"/>
  <c r="Y291" i="58" s="1"/>
  <c r="X264" i="58"/>
  <c r="W264" i="58"/>
  <c r="W291" i="58" s="1"/>
  <c r="V264" i="58"/>
  <c r="V291" i="58" s="1"/>
  <c r="U264" i="58"/>
  <c r="U291" i="58" s="1"/>
  <c r="T264" i="58"/>
  <c r="S264" i="58"/>
  <c r="R264" i="58"/>
  <c r="Q264" i="58"/>
  <c r="P264" i="58"/>
  <c r="O264" i="58"/>
  <c r="N264" i="58"/>
  <c r="M264" i="58"/>
  <c r="M291" i="58" s="1"/>
  <c r="L264" i="58"/>
  <c r="K264" i="58"/>
  <c r="K291" i="58" s="1"/>
  <c r="J264" i="58"/>
  <c r="J291" i="58" s="1"/>
  <c r="J308" i="58" s="1"/>
  <c r="I264" i="58"/>
  <c r="I291" i="58" s="1"/>
  <c r="H264" i="58"/>
  <c r="G264" i="58"/>
  <c r="F264" i="58"/>
  <c r="AQ263" i="58"/>
  <c r="BB263" i="58" s="1"/>
  <c r="BB262" i="58"/>
  <c r="BC262" i="58" s="1"/>
  <c r="BB261" i="58"/>
  <c r="BB260" i="58"/>
  <c r="E260" i="58"/>
  <c r="E264" i="58" s="1"/>
  <c r="T253" i="58"/>
  <c r="BC252" i="58"/>
  <c r="BB252" i="58"/>
  <c r="T247" i="58"/>
  <c r="P247" i="58"/>
  <c r="AS246" i="58"/>
  <c r="BC245" i="58"/>
  <c r="BB245" i="58"/>
  <c r="AR245" i="58"/>
  <c r="AS245" i="58" s="1"/>
  <c r="AQ245" i="58"/>
  <c r="AP245" i="58"/>
  <c r="AO245" i="58"/>
  <c r="AN245" i="58"/>
  <c r="AM245" i="58"/>
  <c r="AL245" i="58"/>
  <c r="AK245" i="58"/>
  <c r="AJ245" i="58"/>
  <c r="AI245" i="58"/>
  <c r="AH245" i="58"/>
  <c r="AG245" i="58"/>
  <c r="AF245" i="58"/>
  <c r="AE245" i="58"/>
  <c r="AD245" i="58"/>
  <c r="AC245" i="58"/>
  <c r="AB245" i="58"/>
  <c r="AA245" i="58"/>
  <c r="Z245" i="58"/>
  <c r="Y245" i="58"/>
  <c r="X245" i="58"/>
  <c r="W245" i="58"/>
  <c r="V245" i="58"/>
  <c r="U245" i="58"/>
  <c r="T245" i="58"/>
  <c r="S245" i="58"/>
  <c r="R245" i="58"/>
  <c r="Q245" i="58"/>
  <c r="P245" i="58"/>
  <c r="O245" i="58"/>
  <c r="N245" i="58"/>
  <c r="M245" i="58"/>
  <c r="L245" i="58"/>
  <c r="K245" i="58"/>
  <c r="J245" i="58"/>
  <c r="I245" i="58"/>
  <c r="H245" i="58"/>
  <c r="G245" i="58"/>
  <c r="F245" i="58"/>
  <c r="E245" i="58"/>
  <c r="D245" i="58"/>
  <c r="AP243" i="58"/>
  <c r="AO243" i="58"/>
  <c r="AN243" i="58"/>
  <c r="AN232" i="58" s="1"/>
  <c r="AM243" i="58"/>
  <c r="AM232" i="58" s="1"/>
  <c r="AK243" i="58"/>
  <c r="AK232" i="58" s="1"/>
  <c r="AC243" i="58"/>
  <c r="AB243" i="58"/>
  <c r="AA243" i="58"/>
  <c r="Z243" i="58"/>
  <c r="Z232" i="58" s="1"/>
  <c r="Y243" i="58"/>
  <c r="X243" i="58"/>
  <c r="W243" i="58"/>
  <c r="W232" i="58" s="1"/>
  <c r="V243" i="58"/>
  <c r="V232" i="58" s="1"/>
  <c r="U243" i="58"/>
  <c r="U232" i="58" s="1"/>
  <c r="T243" i="58"/>
  <c r="T232" i="58" s="1"/>
  <c r="S243" i="58"/>
  <c r="R243" i="58"/>
  <c r="R232" i="58" s="1"/>
  <c r="Q243" i="58"/>
  <c r="Q232" i="58" s="1"/>
  <c r="P243" i="58"/>
  <c r="O243" i="58"/>
  <c r="N243" i="58"/>
  <c r="M243" i="58"/>
  <c r="L243" i="58"/>
  <c r="K243" i="58"/>
  <c r="K232" i="58" s="1"/>
  <c r="J243" i="58"/>
  <c r="J232" i="58" s="1"/>
  <c r="I243" i="58"/>
  <c r="I232" i="58" s="1"/>
  <c r="G243" i="58"/>
  <c r="G232" i="58" s="1"/>
  <c r="F243" i="58"/>
  <c r="E243" i="58"/>
  <c r="E232" i="58" s="1"/>
  <c r="BB242" i="58"/>
  <c r="BB241" i="58"/>
  <c r="AS240" i="58"/>
  <c r="AS243" i="58" s="1"/>
  <c r="AS232" i="58" s="1"/>
  <c r="AR240" i="58"/>
  <c r="BB240" i="58" s="1"/>
  <c r="AQ240" i="58"/>
  <c r="AN240" i="58"/>
  <c r="AL240" i="58"/>
  <c r="AJ240" i="58"/>
  <c r="AI240" i="58"/>
  <c r="AH240" i="58"/>
  <c r="AG240" i="58"/>
  <c r="AE240" i="58"/>
  <c r="AE243" i="58" s="1"/>
  <c r="AE232" i="58" s="1"/>
  <c r="H240" i="58"/>
  <c r="H243" i="58" s="1"/>
  <c r="H232" i="58" s="1"/>
  <c r="BB239" i="58"/>
  <c r="AQ239" i="58"/>
  <c r="AQ243" i="58" s="1"/>
  <c r="AQ232" i="58" s="1"/>
  <c r="AL239" i="58"/>
  <c r="AF239" i="58"/>
  <c r="AS238" i="58"/>
  <c r="AR238" i="58"/>
  <c r="AN238" i="58"/>
  <c r="AJ238" i="58"/>
  <c r="AI238" i="58"/>
  <c r="AH238" i="58"/>
  <c r="AG238" i="58"/>
  <c r="AF238" i="58"/>
  <c r="AF243" i="58" s="1"/>
  <c r="AF232" i="58" s="1"/>
  <c r="AE238" i="58"/>
  <c r="AD238" i="58"/>
  <c r="AS237" i="58"/>
  <c r="AR237" i="58"/>
  <c r="AN237" i="58"/>
  <c r="AJ237" i="58"/>
  <c r="AI237" i="58"/>
  <c r="AI243" i="58" s="1"/>
  <c r="AI232" i="58" s="1"/>
  <c r="AH237" i="58"/>
  <c r="AH243" i="58" s="1"/>
  <c r="AH232" i="58" s="1"/>
  <c r="AG237" i="58"/>
  <c r="AG243" i="58" s="1"/>
  <c r="AG232" i="58" s="1"/>
  <c r="AD237" i="58"/>
  <c r="AP232" i="58"/>
  <c r="AC232" i="58"/>
  <c r="AB232" i="58"/>
  <c r="AA232" i="58"/>
  <c r="Y232" i="58"/>
  <c r="X232" i="58"/>
  <c r="S232" i="58"/>
  <c r="P232" i="58"/>
  <c r="O232" i="58"/>
  <c r="N232" i="58"/>
  <c r="M232" i="58"/>
  <c r="L232" i="58"/>
  <c r="F232" i="58"/>
  <c r="AS230" i="58"/>
  <c r="AR230" i="58"/>
  <c r="AO230" i="58"/>
  <c r="T230" i="58"/>
  <c r="M230" i="58"/>
  <c r="L230" i="58"/>
  <c r="K230" i="58"/>
  <c r="H230" i="58"/>
  <c r="AQ228" i="58"/>
  <c r="AG228" i="58"/>
  <c r="AF228" i="58"/>
  <c r="AF230" i="58" s="1"/>
  <c r="AE228" i="58"/>
  <c r="AC228" i="58"/>
  <c r="T228" i="58"/>
  <c r="S228" i="58"/>
  <c r="R228" i="58"/>
  <c r="Q228" i="58"/>
  <c r="P228" i="58"/>
  <c r="P230" i="58" s="1"/>
  <c r="H228" i="58"/>
  <c r="G228" i="58"/>
  <c r="BB227" i="58"/>
  <c r="H227" i="58"/>
  <c r="AS226" i="58"/>
  <c r="AR226" i="58"/>
  <c r="AR228" i="58" s="1"/>
  <c r="AQ226" i="58"/>
  <c r="AO226" i="58"/>
  <c r="AN226" i="58"/>
  <c r="AN228" i="58" s="1"/>
  <c r="AN230" i="58" s="1"/>
  <c r="AM226" i="58"/>
  <c r="AL226" i="58"/>
  <c r="AJ226" i="58"/>
  <c r="AI226" i="58"/>
  <c r="AH226" i="58"/>
  <c r="AG226" i="58"/>
  <c r="AF226" i="58"/>
  <c r="AE226" i="58"/>
  <c r="AC226" i="58"/>
  <c r="AB226" i="58"/>
  <c r="Z226" i="58"/>
  <c r="O226" i="58"/>
  <c r="I226" i="58"/>
  <c r="BB225" i="58"/>
  <c r="Z225" i="58"/>
  <c r="O225" i="58"/>
  <c r="E225" i="58"/>
  <c r="AQ224" i="58"/>
  <c r="AP224" i="58"/>
  <c r="AL224" i="58"/>
  <c r="AL228" i="58" s="1"/>
  <c r="AC224" i="58"/>
  <c r="AB224" i="58"/>
  <c r="BB224" i="58" s="1"/>
  <c r="BB223" i="58"/>
  <c r="AS222" i="58"/>
  <c r="AR222" i="58"/>
  <c r="AN222" i="58"/>
  <c r="AJ222" i="58"/>
  <c r="AI222" i="58"/>
  <c r="AH222" i="58"/>
  <c r="AG222" i="58"/>
  <c r="AF222" i="58"/>
  <c r="AE222" i="58"/>
  <c r="BB222" i="58" s="1"/>
  <c r="AS221" i="58"/>
  <c r="AR221" i="58"/>
  <c r="AJ221" i="58"/>
  <c r="AI221" i="58"/>
  <c r="AH221" i="58"/>
  <c r="AG221" i="58"/>
  <c r="AF221" i="58"/>
  <c r="AE221" i="58"/>
  <c r="BB221" i="58" s="1"/>
  <c r="AO220" i="58"/>
  <c r="AM220" i="58"/>
  <c r="Z220" i="58"/>
  <c r="O220" i="58"/>
  <c r="E220" i="58"/>
  <c r="BB220" i="58" s="1"/>
  <c r="BB219" i="58"/>
  <c r="Z219" i="58"/>
  <c r="BB218" i="58"/>
  <c r="Z218" i="58"/>
  <c r="O218" i="58"/>
  <c r="Z217" i="58"/>
  <c r="O217" i="58"/>
  <c r="E217" i="58"/>
  <c r="BB217" i="58" s="1"/>
  <c r="BB216" i="58"/>
  <c r="Z216" i="58"/>
  <c r="O216" i="58"/>
  <c r="Z215" i="58"/>
  <c r="O215" i="58"/>
  <c r="Z214" i="58"/>
  <c r="O214" i="58"/>
  <c r="BB214" i="58" s="1"/>
  <c r="BB212" i="58"/>
  <c r="AS212" i="58"/>
  <c r="AS228" i="58" s="1"/>
  <c r="AR212" i="58"/>
  <c r="AQ212" i="58"/>
  <c r="AP212" i="58"/>
  <c r="AO212" i="58"/>
  <c r="AO228" i="58" s="1"/>
  <c r="AN212" i="58"/>
  <c r="AM212" i="58"/>
  <c r="AM228" i="58" s="1"/>
  <c r="AL212" i="58"/>
  <c r="AK212" i="58"/>
  <c r="AK228" i="58" s="1"/>
  <c r="AK230" i="58" s="1"/>
  <c r="AJ212" i="58"/>
  <c r="AJ228" i="58" s="1"/>
  <c r="AI212" i="58"/>
  <c r="AI228" i="58" s="1"/>
  <c r="AH212" i="58"/>
  <c r="AH228" i="58" s="1"/>
  <c r="AG212" i="58"/>
  <c r="AF212" i="58"/>
  <c r="AE212" i="58"/>
  <c r="AD212" i="58"/>
  <c r="AD228" i="58" s="1"/>
  <c r="AC212" i="58"/>
  <c r="AB212" i="58"/>
  <c r="AA212" i="58"/>
  <c r="AA228" i="58" s="1"/>
  <c r="Z212" i="58"/>
  <c r="Z228" i="58" s="1"/>
  <c r="Y212" i="58"/>
  <c r="Y228" i="58" s="1"/>
  <c r="Y230" i="58" s="1"/>
  <c r="X212" i="58"/>
  <c r="X228" i="58" s="1"/>
  <c r="X230" i="58" s="1"/>
  <c r="W212" i="58"/>
  <c r="W228" i="58" s="1"/>
  <c r="V212" i="58"/>
  <c r="V228" i="58" s="1"/>
  <c r="V230" i="58" s="1"/>
  <c r="U212" i="58"/>
  <c r="U228" i="58" s="1"/>
  <c r="T212" i="58"/>
  <c r="S212" i="58"/>
  <c r="R212" i="58"/>
  <c r="Q212" i="58"/>
  <c r="P212" i="58"/>
  <c r="O212" i="58"/>
  <c r="N212" i="58"/>
  <c r="N228" i="58" s="1"/>
  <c r="M212" i="58"/>
  <c r="M228" i="58" s="1"/>
  <c r="L212" i="58"/>
  <c r="L228" i="58" s="1"/>
  <c r="K212" i="58"/>
  <c r="K228" i="58" s="1"/>
  <c r="J212" i="58"/>
  <c r="J228" i="58" s="1"/>
  <c r="I212" i="58"/>
  <c r="I228" i="58" s="1"/>
  <c r="I230" i="58" s="1"/>
  <c r="H212" i="58"/>
  <c r="G212" i="58"/>
  <c r="F212" i="58"/>
  <c r="F228" i="58" s="1"/>
  <c r="E212" i="58"/>
  <c r="BB211" i="58"/>
  <c r="BB210" i="58"/>
  <c r="BB209" i="58"/>
  <c r="BB208" i="58"/>
  <c r="AS203" i="58"/>
  <c r="AR203" i="58"/>
  <c r="AP203" i="58"/>
  <c r="AO203" i="58"/>
  <c r="AN203" i="58"/>
  <c r="AM203" i="58"/>
  <c r="AM230" i="58" s="1"/>
  <c r="AL203" i="58"/>
  <c r="AK203" i="58"/>
  <c r="AJ203" i="58"/>
  <c r="AJ230" i="58" s="1"/>
  <c r="AI203" i="58"/>
  <c r="AH203" i="58"/>
  <c r="AH230" i="58" s="1"/>
  <c r="AH247" i="58" s="1"/>
  <c r="AG203" i="58"/>
  <c r="AF203" i="58"/>
  <c r="AE203" i="58"/>
  <c r="AD203" i="58"/>
  <c r="AD230" i="58" s="1"/>
  <c r="AC203" i="58"/>
  <c r="AC230" i="58" s="1"/>
  <c r="AB203" i="58"/>
  <c r="AA203" i="58"/>
  <c r="AA230" i="58" s="1"/>
  <c r="Z203" i="58"/>
  <c r="Z230" i="58" s="1"/>
  <c r="Y203" i="58"/>
  <c r="X203" i="58"/>
  <c r="W203" i="58"/>
  <c r="V203" i="58"/>
  <c r="U203" i="58"/>
  <c r="T203" i="58"/>
  <c r="S203" i="58"/>
  <c r="R203" i="58"/>
  <c r="Q203" i="58"/>
  <c r="P203" i="58"/>
  <c r="O203" i="58"/>
  <c r="N203" i="58"/>
  <c r="N230" i="58" s="1"/>
  <c r="M203" i="58"/>
  <c r="L203" i="58"/>
  <c r="K203" i="58"/>
  <c r="J203" i="58"/>
  <c r="I203" i="58"/>
  <c r="H203" i="58"/>
  <c r="G203" i="58"/>
  <c r="F203" i="58"/>
  <c r="F230" i="58" s="1"/>
  <c r="E203" i="58"/>
  <c r="AQ202" i="58"/>
  <c r="AQ203" i="58" s="1"/>
  <c r="AQ230" i="58" s="1"/>
  <c r="AP202" i="58"/>
  <c r="BB201" i="58"/>
  <c r="BC201" i="58" s="1"/>
  <c r="D262" i="58" s="1"/>
  <c r="BB200" i="58"/>
  <c r="E199" i="58"/>
  <c r="BB199" i="58" s="1"/>
  <c r="BC191" i="58"/>
  <c r="BB191" i="58"/>
  <c r="BC188" i="58"/>
  <c r="BC249" i="58" s="1"/>
  <c r="BC310" i="58" s="1"/>
  <c r="BC371" i="58" s="1"/>
  <c r="BC432" i="58" s="1"/>
  <c r="BC184" i="58"/>
  <c r="BB184" i="58"/>
  <c r="AS184" i="58"/>
  <c r="AR184" i="58"/>
  <c r="AQ184" i="58"/>
  <c r="AP184" i="58"/>
  <c r="AO184" i="58"/>
  <c r="AN184" i="58"/>
  <c r="AM184" i="58"/>
  <c r="AL184" i="58"/>
  <c r="AK184" i="58"/>
  <c r="AJ184" i="58"/>
  <c r="AI184" i="58"/>
  <c r="AH184" i="58"/>
  <c r="AG184" i="58"/>
  <c r="AF184" i="58"/>
  <c r="AE184" i="58"/>
  <c r="AD184" i="58"/>
  <c r="AC184" i="58"/>
  <c r="AB184" i="58"/>
  <c r="AA184" i="58"/>
  <c r="Z184" i="58"/>
  <c r="Y184" i="58"/>
  <c r="X184" i="58"/>
  <c r="W184" i="58"/>
  <c r="V184" i="58"/>
  <c r="U184" i="58"/>
  <c r="T184" i="58"/>
  <c r="S184" i="58"/>
  <c r="R184" i="58"/>
  <c r="Q184" i="58"/>
  <c r="P184" i="58"/>
  <c r="O184" i="58"/>
  <c r="N184" i="58"/>
  <c r="M184" i="58"/>
  <c r="L184" i="58"/>
  <c r="K184" i="58"/>
  <c r="J184" i="58"/>
  <c r="I184" i="58"/>
  <c r="H184" i="58"/>
  <c r="G184" i="58"/>
  <c r="F184" i="58"/>
  <c r="E184" i="58"/>
  <c r="D184" i="58"/>
  <c r="AP182" i="58"/>
  <c r="AO182" i="58"/>
  <c r="AN182" i="58"/>
  <c r="AN171" i="58" s="1"/>
  <c r="AM182" i="58"/>
  <c r="AL182" i="58"/>
  <c r="AL171" i="58" s="1"/>
  <c r="AK182" i="58"/>
  <c r="AI182" i="58"/>
  <c r="AI171" i="58" s="1"/>
  <c r="AC182" i="58"/>
  <c r="AB182" i="58"/>
  <c r="AA182" i="58"/>
  <c r="AA171" i="58" s="1"/>
  <c r="Z182" i="58"/>
  <c r="Y182" i="58"/>
  <c r="Y171" i="58" s="1"/>
  <c r="X182" i="58"/>
  <c r="W182" i="58"/>
  <c r="W171" i="58" s="1"/>
  <c r="V182" i="58"/>
  <c r="V171" i="58" s="1"/>
  <c r="U182" i="58"/>
  <c r="U171" i="58" s="1"/>
  <c r="T182" i="58"/>
  <c r="S182" i="58"/>
  <c r="R182" i="58"/>
  <c r="R171" i="58" s="1"/>
  <c r="Q182" i="58"/>
  <c r="P182" i="58"/>
  <c r="O182" i="58"/>
  <c r="N182" i="58"/>
  <c r="M182" i="58"/>
  <c r="L182" i="58"/>
  <c r="K182" i="58"/>
  <c r="K171" i="58" s="1"/>
  <c r="J182" i="58"/>
  <c r="J171" i="58" s="1"/>
  <c r="I182" i="58"/>
  <c r="I171" i="58" s="1"/>
  <c r="G182" i="58"/>
  <c r="F182" i="58"/>
  <c r="E182" i="58"/>
  <c r="E171" i="58" s="1"/>
  <c r="BB181" i="58"/>
  <c r="BH180" i="58"/>
  <c r="BB180" i="58"/>
  <c r="AS179" i="58"/>
  <c r="AR179" i="58"/>
  <c r="AQ179" i="58"/>
  <c r="AN179" i="58"/>
  <c r="AL179" i="58"/>
  <c r="AJ179" i="58"/>
  <c r="AI179" i="58"/>
  <c r="AH179" i="58"/>
  <c r="AH182" i="58" s="1"/>
  <c r="AH171" i="58" s="1"/>
  <c r="AG179" i="58"/>
  <c r="AG182" i="58" s="1"/>
  <c r="AG171" i="58" s="1"/>
  <c r="AE179" i="58"/>
  <c r="BB179" i="58" s="1"/>
  <c r="H179" i="58"/>
  <c r="H182" i="58" s="1"/>
  <c r="H171" i="58" s="1"/>
  <c r="AQ178" i="58"/>
  <c r="AQ182" i="58" s="1"/>
  <c r="AQ186" i="58" s="1"/>
  <c r="AL178" i="58"/>
  <c r="AF178" i="58"/>
  <c r="AS177" i="58"/>
  <c r="AS182" i="58" s="1"/>
  <c r="AS171" i="58" s="1"/>
  <c r="AR177" i="58"/>
  <c r="AJ177" i="58"/>
  <c r="AI177" i="58"/>
  <c r="AH177" i="58"/>
  <c r="AG177" i="58"/>
  <c r="AF177" i="58"/>
  <c r="AF182" i="58" s="1"/>
  <c r="AF171" i="58" s="1"/>
  <c r="AE177" i="58"/>
  <c r="AE182" i="58" s="1"/>
  <c r="AE171" i="58" s="1"/>
  <c r="AD177" i="58"/>
  <c r="BB177" i="58" s="1"/>
  <c r="AS176" i="58"/>
  <c r="AR176" i="58"/>
  <c r="AN176" i="58"/>
  <c r="AJ176" i="58"/>
  <c r="AJ182" i="58" s="1"/>
  <c r="AJ171" i="58" s="1"/>
  <c r="AI176" i="58"/>
  <c r="AH176" i="58"/>
  <c r="AG176" i="58"/>
  <c r="AD176" i="58"/>
  <c r="AP171" i="58"/>
  <c r="AM171" i="58"/>
  <c r="AK171" i="58"/>
  <c r="AC171" i="58"/>
  <c r="AB171" i="58"/>
  <c r="Z171" i="58"/>
  <c r="X171" i="58"/>
  <c r="T171" i="58"/>
  <c r="S171" i="58"/>
  <c r="Q171" i="58"/>
  <c r="P171" i="58"/>
  <c r="O171" i="58"/>
  <c r="N171" i="58"/>
  <c r="M171" i="58"/>
  <c r="L171" i="58"/>
  <c r="G171" i="58"/>
  <c r="F171" i="58"/>
  <c r="AP169" i="58"/>
  <c r="AO169" i="58"/>
  <c r="AF169" i="58"/>
  <c r="N169" i="58"/>
  <c r="AQ167" i="58"/>
  <c r="AK167" i="58"/>
  <c r="AF167" i="58"/>
  <c r="AE167" i="58"/>
  <c r="AD167" i="58"/>
  <c r="AD169" i="58" s="1"/>
  <c r="AC167" i="58"/>
  <c r="AC169" i="58" s="1"/>
  <c r="Z167" i="58"/>
  <c r="Y167" i="58"/>
  <c r="V167" i="58"/>
  <c r="V169" i="58" s="1"/>
  <c r="T167" i="58"/>
  <c r="T169" i="58" s="1"/>
  <c r="S167" i="58"/>
  <c r="R167" i="58"/>
  <c r="R169" i="58" s="1"/>
  <c r="Q167" i="58"/>
  <c r="Q169" i="58" s="1"/>
  <c r="P167" i="58"/>
  <c r="P169" i="58" s="1"/>
  <c r="M167" i="58"/>
  <c r="M169" i="58" s="1"/>
  <c r="J167" i="58"/>
  <c r="F167" i="58"/>
  <c r="BB166" i="58"/>
  <c r="H166" i="58"/>
  <c r="AS165" i="58"/>
  <c r="AR165" i="58"/>
  <c r="AQ165" i="58"/>
  <c r="AL165" i="58"/>
  <c r="AJ165" i="58"/>
  <c r="AI165" i="58"/>
  <c r="AH165" i="58"/>
  <c r="AG165" i="58"/>
  <c r="AF165" i="58"/>
  <c r="AE165" i="58"/>
  <c r="AC165" i="58"/>
  <c r="O165" i="58"/>
  <c r="I165" i="58"/>
  <c r="O164" i="58"/>
  <c r="BB164" i="58" s="1"/>
  <c r="E164" i="58"/>
  <c r="BB163" i="58"/>
  <c r="AQ163" i="58"/>
  <c r="AL163" i="58"/>
  <c r="AC163" i="58"/>
  <c r="BB162" i="58"/>
  <c r="AS161" i="58"/>
  <c r="AR161" i="58"/>
  <c r="AJ161" i="58"/>
  <c r="AI161" i="58"/>
  <c r="AH161" i="58"/>
  <c r="AG161" i="58"/>
  <c r="AF161" i="58"/>
  <c r="AE161" i="58"/>
  <c r="AS160" i="58"/>
  <c r="AR160" i="58"/>
  <c r="AJ160" i="58"/>
  <c r="AI160" i="58"/>
  <c r="AH160" i="58"/>
  <c r="AH167" i="58" s="1"/>
  <c r="AH169" i="58" s="1"/>
  <c r="AG160" i="58"/>
  <c r="BB160" i="58" s="1"/>
  <c r="AF160" i="58"/>
  <c r="AE160" i="58"/>
  <c r="O159" i="58"/>
  <c r="BB159" i="58" s="1"/>
  <c r="E159" i="58"/>
  <c r="BB158" i="58"/>
  <c r="BB157" i="58"/>
  <c r="O157" i="58"/>
  <c r="O156" i="58"/>
  <c r="BB156" i="58" s="1"/>
  <c r="E156" i="58"/>
  <c r="O155" i="58"/>
  <c r="BB155" i="58" s="1"/>
  <c r="BB154" i="58"/>
  <c r="O154" i="58"/>
  <c r="BB153" i="58"/>
  <c r="O153" i="58"/>
  <c r="AS151" i="58"/>
  <c r="AS167" i="58" s="1"/>
  <c r="AS169" i="58" s="1"/>
  <c r="AR151" i="58"/>
  <c r="AR167" i="58" s="1"/>
  <c r="AR169" i="58" s="1"/>
  <c r="AQ151" i="58"/>
  <c r="AP151" i="58"/>
  <c r="AP167" i="58" s="1"/>
  <c r="AO151" i="58"/>
  <c r="AO167" i="58" s="1"/>
  <c r="AN151" i="58"/>
  <c r="AN167" i="58" s="1"/>
  <c r="AM151" i="58"/>
  <c r="AM167" i="58" s="1"/>
  <c r="AL151" i="58"/>
  <c r="AK151" i="58"/>
  <c r="AJ151" i="58"/>
  <c r="AI151" i="58"/>
  <c r="AI167" i="58" s="1"/>
  <c r="AI169" i="58" s="1"/>
  <c r="AH151" i="58"/>
  <c r="AG151" i="58"/>
  <c r="AG167" i="58" s="1"/>
  <c r="AG169" i="58" s="1"/>
  <c r="AF151" i="58"/>
  <c r="AE151" i="58"/>
  <c r="AD151" i="58"/>
  <c r="AC151" i="58"/>
  <c r="AB151" i="58"/>
  <c r="AB167" i="58" s="1"/>
  <c r="AA151" i="58"/>
  <c r="AA167" i="58" s="1"/>
  <c r="Z151" i="58"/>
  <c r="Y151" i="58"/>
  <c r="X151" i="58"/>
  <c r="X167" i="58" s="1"/>
  <c r="W151" i="58"/>
  <c r="W167" i="58" s="1"/>
  <c r="V151" i="58"/>
  <c r="U151" i="58"/>
  <c r="U167" i="58" s="1"/>
  <c r="U169" i="58" s="1"/>
  <c r="T151" i="58"/>
  <c r="S151" i="58"/>
  <c r="R151" i="58"/>
  <c r="Q151" i="58"/>
  <c r="P151" i="58"/>
  <c r="O151" i="58"/>
  <c r="N151" i="58"/>
  <c r="N167" i="58" s="1"/>
  <c r="M151" i="58"/>
  <c r="L151" i="58"/>
  <c r="L167" i="58" s="1"/>
  <c r="K151" i="58"/>
  <c r="K167" i="58" s="1"/>
  <c r="J151" i="58"/>
  <c r="I151" i="58"/>
  <c r="I167" i="58" s="1"/>
  <c r="I169" i="58" s="1"/>
  <c r="H151" i="58"/>
  <c r="H167" i="58" s="1"/>
  <c r="G151" i="58"/>
  <c r="G167" i="58" s="1"/>
  <c r="F151" i="58"/>
  <c r="E151" i="58"/>
  <c r="BB150" i="58"/>
  <c r="BB149" i="58"/>
  <c r="BB148" i="58"/>
  <c r="BB147" i="58"/>
  <c r="BB151" i="58" s="1"/>
  <c r="AS142" i="58"/>
  <c r="AR142" i="58"/>
  <c r="AP142" i="58"/>
  <c r="AO142" i="58"/>
  <c r="AN142" i="58"/>
  <c r="AN169" i="58" s="1"/>
  <c r="AM142" i="58"/>
  <c r="AM169" i="58" s="1"/>
  <c r="AL142" i="58"/>
  <c r="AK142" i="58"/>
  <c r="AK169" i="58" s="1"/>
  <c r="AJ142" i="58"/>
  <c r="AI142" i="58"/>
  <c r="AH142" i="58"/>
  <c r="AG142" i="58"/>
  <c r="AF142" i="58"/>
  <c r="AE142" i="58"/>
  <c r="AD142" i="58"/>
  <c r="AC142" i="58"/>
  <c r="AB142" i="58"/>
  <c r="AB169" i="58" s="1"/>
  <c r="AA142" i="58"/>
  <c r="AA169" i="58" s="1"/>
  <c r="Z142" i="58"/>
  <c r="Z169" i="58" s="1"/>
  <c r="Y142" i="58"/>
  <c r="Y169" i="58" s="1"/>
  <c r="X142" i="58"/>
  <c r="X169" i="58" s="1"/>
  <c r="W142" i="58"/>
  <c r="V142" i="58"/>
  <c r="U142" i="58"/>
  <c r="T142" i="58"/>
  <c r="S142" i="58"/>
  <c r="R142" i="58"/>
  <c r="Q142" i="58"/>
  <c r="P142" i="58"/>
  <c r="O142" i="58"/>
  <c r="N142" i="58"/>
  <c r="M142" i="58"/>
  <c r="L142" i="58"/>
  <c r="L169" i="58" s="1"/>
  <c r="L186" i="58" s="1"/>
  <c r="K142" i="58"/>
  <c r="K169" i="58" s="1"/>
  <c r="J142" i="58"/>
  <c r="I142" i="58"/>
  <c r="H142" i="58"/>
  <c r="H169" i="58" s="1"/>
  <c r="G142" i="58"/>
  <c r="F142" i="58"/>
  <c r="AQ141" i="58"/>
  <c r="AQ142" i="58" s="1"/>
  <c r="AQ169" i="58" s="1"/>
  <c r="BC140" i="58"/>
  <c r="D201" i="58" s="1"/>
  <c r="BB140" i="58"/>
  <c r="BB139" i="58"/>
  <c r="E138" i="58"/>
  <c r="Q131" i="58"/>
  <c r="BC130" i="58"/>
  <c r="BB130" i="58"/>
  <c r="BC127" i="58"/>
  <c r="BC123" i="58"/>
  <c r="BB123" i="58"/>
  <c r="AS123" i="58"/>
  <c r="AR123" i="58"/>
  <c r="AQ123" i="58"/>
  <c r="AP123" i="58"/>
  <c r="AO123" i="58"/>
  <c r="AN123" i="58"/>
  <c r="AM123" i="58"/>
  <c r="AL123" i="58"/>
  <c r="AK123" i="58"/>
  <c r="AJ123" i="58"/>
  <c r="AI123" i="58"/>
  <c r="AH123" i="58"/>
  <c r="AG123" i="58"/>
  <c r="AF123" i="58"/>
  <c r="AE123" i="58"/>
  <c r="AD123" i="58"/>
  <c r="AC123" i="58"/>
  <c r="AB123" i="58"/>
  <c r="AA123" i="58"/>
  <c r="Z123" i="58"/>
  <c r="Y123" i="58"/>
  <c r="X123" i="58"/>
  <c r="W123" i="58"/>
  <c r="V123" i="58"/>
  <c r="U123" i="58"/>
  <c r="T123" i="58"/>
  <c r="S123" i="58"/>
  <c r="R123" i="58"/>
  <c r="Q123" i="58"/>
  <c r="P123" i="58"/>
  <c r="O123" i="58"/>
  <c r="N123" i="58"/>
  <c r="M123" i="58"/>
  <c r="L123" i="58"/>
  <c r="K123" i="58"/>
  <c r="J123" i="58"/>
  <c r="I123" i="58"/>
  <c r="H123" i="58"/>
  <c r="G123" i="58"/>
  <c r="F123" i="58"/>
  <c r="E123" i="58"/>
  <c r="D123" i="58"/>
  <c r="AO121" i="58"/>
  <c r="AM121" i="58"/>
  <c r="AL121" i="58"/>
  <c r="AK121" i="58"/>
  <c r="AJ121" i="58"/>
  <c r="AJ110" i="58" s="1"/>
  <c r="AI121" i="58"/>
  <c r="AH121" i="58"/>
  <c r="AH110" i="58" s="1"/>
  <c r="AG121" i="58"/>
  <c r="AG110" i="58" s="1"/>
  <c r="AF121" i="58"/>
  <c r="AC121" i="58"/>
  <c r="Z121" i="58"/>
  <c r="Y121" i="58"/>
  <c r="X121" i="58"/>
  <c r="X110" i="58" s="1"/>
  <c r="W121" i="58"/>
  <c r="V121" i="58"/>
  <c r="U121" i="58"/>
  <c r="U110" i="58" s="1"/>
  <c r="T121" i="58"/>
  <c r="T110" i="58" s="1"/>
  <c r="S121" i="58"/>
  <c r="S110" i="58" s="1"/>
  <c r="R121" i="58"/>
  <c r="Q121" i="58"/>
  <c r="P121" i="58"/>
  <c r="O121" i="58"/>
  <c r="O110" i="58" s="1"/>
  <c r="N121" i="58"/>
  <c r="N110" i="58" s="1"/>
  <c r="M121" i="58"/>
  <c r="M110" i="58" s="1"/>
  <c r="L121" i="58"/>
  <c r="L110" i="58" s="1"/>
  <c r="K121" i="58"/>
  <c r="K110" i="58" s="1"/>
  <c r="J121" i="58"/>
  <c r="J110" i="58" s="1"/>
  <c r="I121" i="58"/>
  <c r="I110" i="58" s="1"/>
  <c r="H121" i="58"/>
  <c r="H110" i="58" s="1"/>
  <c r="G121" i="58"/>
  <c r="G110" i="58" s="1"/>
  <c r="F121" i="58"/>
  <c r="E121" i="58"/>
  <c r="BB120" i="58"/>
  <c r="BB119" i="58"/>
  <c r="AS118" i="58"/>
  <c r="AR118" i="58"/>
  <c r="AQ118" i="58"/>
  <c r="AP118" i="58"/>
  <c r="AN118" i="58"/>
  <c r="AL118" i="58"/>
  <c r="AJ118" i="58"/>
  <c r="AI118" i="58"/>
  <c r="AH118" i="58"/>
  <c r="AG118" i="58"/>
  <c r="AE118" i="58"/>
  <c r="AA118" i="58"/>
  <c r="H118" i="58"/>
  <c r="BB118" i="58" s="1"/>
  <c r="BC118" i="58" s="1"/>
  <c r="D179" i="58" s="1"/>
  <c r="AQ117" i="58"/>
  <c r="AQ121" i="58" s="1"/>
  <c r="AQ110" i="58" s="1"/>
  <c r="AL117" i="58"/>
  <c r="AF117" i="58"/>
  <c r="AB117" i="58"/>
  <c r="AS116" i="58"/>
  <c r="AR116" i="58"/>
  <c r="AP116" i="58"/>
  <c r="AP121" i="58" s="1"/>
  <c r="AP110" i="58" s="1"/>
  <c r="AN116" i="58"/>
  <c r="AJ116" i="58"/>
  <c r="AI116" i="58"/>
  <c r="AH116" i="58"/>
  <c r="AG116" i="58"/>
  <c r="AF116" i="58"/>
  <c r="AE116" i="58"/>
  <c r="AD116" i="58"/>
  <c r="AB116" i="58"/>
  <c r="BB116" i="58" s="1"/>
  <c r="AA116" i="58"/>
  <c r="BB115" i="58"/>
  <c r="AS115" i="58"/>
  <c r="AR115" i="58"/>
  <c r="AP115" i="58"/>
  <c r="AN115" i="58"/>
  <c r="AJ115" i="58"/>
  <c r="AI115" i="58"/>
  <c r="AH115" i="58"/>
  <c r="AG115" i="58"/>
  <c r="AD115" i="58"/>
  <c r="AB115" i="58"/>
  <c r="AA115" i="58"/>
  <c r="AM110" i="58"/>
  <c r="AL110" i="58"/>
  <c r="AK110" i="58"/>
  <c r="AI110" i="58"/>
  <c r="AF110" i="58"/>
  <c r="AC110" i="58"/>
  <c r="Z110" i="58"/>
  <c r="Y110" i="58"/>
  <c r="W110" i="58"/>
  <c r="V110" i="58"/>
  <c r="R110" i="58"/>
  <c r="Q110" i="58"/>
  <c r="P110" i="58"/>
  <c r="F110" i="58"/>
  <c r="E110" i="58"/>
  <c r="AO108" i="58"/>
  <c r="AO125" i="58" s="1"/>
  <c r="AN108" i="58"/>
  <c r="AL108" i="58"/>
  <c r="AK108" i="58"/>
  <c r="AJ108" i="58"/>
  <c r="AN106" i="58"/>
  <c r="AM106" i="58"/>
  <c r="AL106" i="58"/>
  <c r="AK106" i="58"/>
  <c r="AJ106" i="58"/>
  <c r="AB106" i="58"/>
  <c r="Z106" i="58"/>
  <c r="Y106" i="58"/>
  <c r="T106" i="58"/>
  <c r="N106" i="58"/>
  <c r="M106" i="58"/>
  <c r="L106" i="58"/>
  <c r="L108" i="58" s="1"/>
  <c r="K106" i="58"/>
  <c r="K108" i="58" s="1"/>
  <c r="J106" i="58"/>
  <c r="J108" i="58" s="1"/>
  <c r="H106" i="58"/>
  <c r="H105" i="58"/>
  <c r="BB105" i="58" s="1"/>
  <c r="AS104" i="58"/>
  <c r="AR104" i="58"/>
  <c r="AQ104" i="58"/>
  <c r="AL104" i="58"/>
  <c r="AJ104" i="58"/>
  <c r="AI104" i="58"/>
  <c r="AH104" i="58"/>
  <c r="AG104" i="58"/>
  <c r="AF104" i="58"/>
  <c r="AE104" i="58"/>
  <c r="AC104" i="58"/>
  <c r="AB104" i="58"/>
  <c r="AA104" i="58"/>
  <c r="AA106" i="58" s="1"/>
  <c r="AA108" i="58" s="1"/>
  <c r="R104" i="58"/>
  <c r="O104" i="58"/>
  <c r="M104" i="58"/>
  <c r="I104" i="58"/>
  <c r="G104" i="58"/>
  <c r="AP103" i="58"/>
  <c r="O103" i="58"/>
  <c r="BB103" i="58" s="1"/>
  <c r="BC103" i="58" s="1"/>
  <c r="G103" i="58"/>
  <c r="E103" i="58"/>
  <c r="AQ102" i="58"/>
  <c r="BB102" i="58" s="1"/>
  <c r="AP102" i="58"/>
  <c r="AL102" i="58"/>
  <c r="AC102" i="58"/>
  <c r="BB101" i="58"/>
  <c r="AS100" i="58"/>
  <c r="AR100" i="58"/>
  <c r="AJ100" i="58"/>
  <c r="AI100" i="58"/>
  <c r="AH100" i="58"/>
  <c r="AG100" i="58"/>
  <c r="AF100" i="58"/>
  <c r="AE100" i="58"/>
  <c r="AS99" i="58"/>
  <c r="AR99" i="58"/>
  <c r="AP99" i="58"/>
  <c r="AJ99" i="58"/>
  <c r="AI99" i="58"/>
  <c r="AH99" i="58"/>
  <c r="BB99" i="58" s="1"/>
  <c r="AG99" i="58"/>
  <c r="AF99" i="58"/>
  <c r="AE99" i="58"/>
  <c r="AA99" i="58"/>
  <c r="AP98" i="58"/>
  <c r="R98" i="58"/>
  <c r="O98" i="58"/>
  <c r="M98" i="58"/>
  <c r="BB98" i="58" s="1"/>
  <c r="G98" i="58"/>
  <c r="E98" i="58"/>
  <c r="BB97" i="58"/>
  <c r="O96" i="58"/>
  <c r="BB96" i="58" s="1"/>
  <c r="BC96" i="58" s="1"/>
  <c r="AP95" i="58"/>
  <c r="O95" i="58"/>
  <c r="G95" i="58"/>
  <c r="E95" i="58"/>
  <c r="BB95" i="58" s="1"/>
  <c r="BB94" i="58"/>
  <c r="BC94" i="58" s="1"/>
  <c r="O94" i="58"/>
  <c r="BB93" i="58"/>
  <c r="O92" i="58"/>
  <c r="BB90" i="58"/>
  <c r="AS90" i="58"/>
  <c r="AS106" i="58" s="1"/>
  <c r="AR90" i="58"/>
  <c r="AR106" i="58" s="1"/>
  <c r="AQ90" i="58"/>
  <c r="AQ106" i="58" s="1"/>
  <c r="AP90" i="58"/>
  <c r="AO90" i="58"/>
  <c r="AO106" i="58" s="1"/>
  <c r="AN90" i="58"/>
  <c r="AM90" i="58"/>
  <c r="AL90" i="58"/>
  <c r="AK90" i="58"/>
  <c r="AI90" i="58"/>
  <c r="AH90" i="58"/>
  <c r="AG90" i="58"/>
  <c r="AF90" i="58"/>
  <c r="AF106" i="58" s="1"/>
  <c r="AE90" i="58"/>
  <c r="AE106" i="58" s="1"/>
  <c r="AD90" i="58"/>
  <c r="AD106" i="58" s="1"/>
  <c r="AC90" i="58"/>
  <c r="AB90" i="58"/>
  <c r="AA90" i="58"/>
  <c r="Z90" i="58"/>
  <c r="Y90" i="58"/>
  <c r="X90" i="58"/>
  <c r="X106" i="58" s="1"/>
  <c r="X108" i="58" s="1"/>
  <c r="W90" i="58"/>
  <c r="W106" i="58" s="1"/>
  <c r="W108" i="58" s="1"/>
  <c r="V90" i="58"/>
  <c r="V106" i="58" s="1"/>
  <c r="V108" i="58" s="1"/>
  <c r="U90" i="58"/>
  <c r="U106" i="58" s="1"/>
  <c r="U108" i="58" s="1"/>
  <c r="T90" i="58"/>
  <c r="S90" i="58"/>
  <c r="S106" i="58" s="1"/>
  <c r="R90" i="58"/>
  <c r="R106" i="58" s="1"/>
  <c r="Q90" i="58"/>
  <c r="Q106" i="58" s="1"/>
  <c r="P90" i="58"/>
  <c r="P106" i="58" s="1"/>
  <c r="O90" i="58"/>
  <c r="N90" i="58"/>
  <c r="M90" i="58"/>
  <c r="L90" i="58"/>
  <c r="K90" i="58"/>
  <c r="J90" i="58"/>
  <c r="I90" i="58"/>
  <c r="I106" i="58" s="1"/>
  <c r="I108" i="58" s="1"/>
  <c r="H90" i="58"/>
  <c r="G90" i="58"/>
  <c r="G106" i="58" s="1"/>
  <c r="F90" i="58"/>
  <c r="F106" i="58" s="1"/>
  <c r="E90" i="58"/>
  <c r="BB89" i="58"/>
  <c r="BB88" i="58"/>
  <c r="BB87" i="58"/>
  <c r="BB86" i="58"/>
  <c r="AS81" i="58"/>
  <c r="AS108" i="58" s="1"/>
  <c r="AR81" i="58"/>
  <c r="AR108" i="58" s="1"/>
  <c r="AQ81" i="58"/>
  <c r="AO81" i="58"/>
  <c r="AN81" i="58"/>
  <c r="AM81" i="58"/>
  <c r="AL81" i="58"/>
  <c r="AK81" i="58"/>
  <c r="AI81" i="58"/>
  <c r="AH81" i="58"/>
  <c r="AG81" i="58"/>
  <c r="AF81" i="58"/>
  <c r="AE81" i="58"/>
  <c r="AE108" i="58" s="1"/>
  <c r="AD81" i="58"/>
  <c r="AD108" i="58" s="1"/>
  <c r="AC81" i="58"/>
  <c r="AB81" i="58"/>
  <c r="AA81" i="58"/>
  <c r="Z81" i="58"/>
  <c r="Y81" i="58"/>
  <c r="Y108" i="58" s="1"/>
  <c r="X81" i="58"/>
  <c r="W81" i="58"/>
  <c r="V81" i="58"/>
  <c r="U81" i="58"/>
  <c r="T81" i="58"/>
  <c r="T108" i="58" s="1"/>
  <c r="S81" i="58"/>
  <c r="S108" i="58" s="1"/>
  <c r="R81" i="58"/>
  <c r="R108" i="58" s="1"/>
  <c r="Q81" i="58"/>
  <c r="Q108" i="58" s="1"/>
  <c r="P81" i="58"/>
  <c r="P108" i="58" s="1"/>
  <c r="O81" i="58"/>
  <c r="N81" i="58"/>
  <c r="M81" i="58"/>
  <c r="L81" i="58"/>
  <c r="K81" i="58"/>
  <c r="J81" i="58"/>
  <c r="I81" i="58"/>
  <c r="H81" i="58"/>
  <c r="G81" i="58"/>
  <c r="G108" i="58" s="1"/>
  <c r="F81" i="58"/>
  <c r="F108" i="58" s="1"/>
  <c r="E81" i="58"/>
  <c r="AQ80" i="58"/>
  <c r="AP80" i="58"/>
  <c r="AP81" i="58" s="1"/>
  <c r="AB80" i="58"/>
  <c r="E80" i="58"/>
  <c r="BB79" i="58"/>
  <c r="BC79" i="58" s="1"/>
  <c r="D140" i="58" s="1"/>
  <c r="D79" i="58"/>
  <c r="BB78" i="58"/>
  <c r="BC78" i="58" s="1"/>
  <c r="D139" i="58" s="1"/>
  <c r="G77" i="58"/>
  <c r="BB77" i="58" s="1"/>
  <c r="E77" i="58"/>
  <c r="AO70" i="58"/>
  <c r="AJ70" i="58"/>
  <c r="AH70" i="58"/>
  <c r="AG70" i="58"/>
  <c r="AE70" i="58"/>
  <c r="AO64" i="58"/>
  <c r="BC62" i="58"/>
  <c r="BB62" i="58"/>
  <c r="AR62" i="58"/>
  <c r="AS62" i="58" s="1"/>
  <c r="AQ62" i="58"/>
  <c r="AP62" i="58"/>
  <c r="AO62" i="58"/>
  <c r="AN62" i="58"/>
  <c r="AM62" i="58"/>
  <c r="AL62" i="58"/>
  <c r="AK62" i="58"/>
  <c r="AI62" i="58"/>
  <c r="AD62" i="58"/>
  <c r="AC62" i="58"/>
  <c r="AB62" i="58"/>
  <c r="AA62" i="58"/>
  <c r="Z62" i="58"/>
  <c r="Y62" i="58"/>
  <c r="X62" i="58"/>
  <c r="W62" i="58"/>
  <c r="V62" i="58"/>
  <c r="U62" i="58"/>
  <c r="T62" i="58"/>
  <c r="S62" i="58"/>
  <c r="R62" i="58"/>
  <c r="Q62" i="58"/>
  <c r="P62" i="58"/>
  <c r="O62" i="58"/>
  <c r="N62" i="58"/>
  <c r="M62" i="58"/>
  <c r="L62" i="58"/>
  <c r="K62" i="58"/>
  <c r="J62" i="58"/>
  <c r="I62" i="58"/>
  <c r="H62" i="58"/>
  <c r="G62" i="58"/>
  <c r="F62" i="58"/>
  <c r="E62" i="58"/>
  <c r="D62" i="58"/>
  <c r="AS60" i="58"/>
  <c r="AR60" i="58"/>
  <c r="AR49" i="58" s="1"/>
  <c r="AQ60" i="58"/>
  <c r="AP60" i="58"/>
  <c r="AP49" i="58" s="1"/>
  <c r="AO60" i="58"/>
  <c r="AN60" i="58"/>
  <c r="AM60" i="58"/>
  <c r="AI60" i="58"/>
  <c r="AD60" i="58"/>
  <c r="AC60" i="58"/>
  <c r="Z60" i="58"/>
  <c r="Z49" i="58" s="1"/>
  <c r="Y60" i="58"/>
  <c r="Y49" i="58" s="1"/>
  <c r="V60" i="58"/>
  <c r="U60" i="58"/>
  <c r="T60" i="58"/>
  <c r="T49" i="58" s="1"/>
  <c r="S60" i="58"/>
  <c r="S49" i="58" s="1"/>
  <c r="R60" i="58"/>
  <c r="Q60" i="58"/>
  <c r="P60" i="58"/>
  <c r="O60" i="58"/>
  <c r="O49" i="58" s="1"/>
  <c r="N60" i="58"/>
  <c r="N49" i="58" s="1"/>
  <c r="M60" i="58"/>
  <c r="M49" i="58" s="1"/>
  <c r="L60" i="58"/>
  <c r="L49" i="58" s="1"/>
  <c r="K60" i="58"/>
  <c r="J60" i="58"/>
  <c r="I60" i="58"/>
  <c r="H60" i="58"/>
  <c r="H49" i="58" s="1"/>
  <c r="G60" i="58"/>
  <c r="F60" i="58"/>
  <c r="F49" i="58" s="1"/>
  <c r="E60" i="58"/>
  <c r="D60" i="58"/>
  <c r="D72" i="58" s="1"/>
  <c r="BB59" i="58"/>
  <c r="BC59" i="58" s="1"/>
  <c r="D120" i="58" s="1"/>
  <c r="W59" i="58"/>
  <c r="W58" i="58"/>
  <c r="BB58" i="58" s="1"/>
  <c r="BC58" i="58" s="1"/>
  <c r="BC119" i="58" s="1"/>
  <c r="D180" i="58" s="1"/>
  <c r="AR57" i="58"/>
  <c r="AQ57" i="58"/>
  <c r="AP57" i="58"/>
  <c r="AL57" i="58"/>
  <c r="AF57" i="58"/>
  <c r="AB57" i="58"/>
  <c r="AA57" i="58"/>
  <c r="X57" i="58"/>
  <c r="W57" i="58"/>
  <c r="BB57" i="58" s="1"/>
  <c r="BC57" i="58" s="1"/>
  <c r="D118" i="58" s="1"/>
  <c r="AQ56" i="58"/>
  <c r="AP56" i="58"/>
  <c r="AL56" i="58"/>
  <c r="W56" i="58"/>
  <c r="BB56" i="58" s="1"/>
  <c r="BC56" i="58" s="1"/>
  <c r="D117" i="58" s="1"/>
  <c r="AR55" i="58"/>
  <c r="AP55" i="58"/>
  <c r="AF55" i="58"/>
  <c r="AF60" i="58" s="1"/>
  <c r="AF49" i="58" s="1"/>
  <c r="AB55" i="58"/>
  <c r="AB60" i="58" s="1"/>
  <c r="AB49" i="58" s="1"/>
  <c r="AA55" i="58"/>
  <c r="X55" i="58"/>
  <c r="X60" i="58" s="1"/>
  <c r="X49" i="58" s="1"/>
  <c r="W55" i="58"/>
  <c r="AR54" i="58"/>
  <c r="AP54" i="58"/>
  <c r="AB54" i="58"/>
  <c r="AA54" i="58"/>
  <c r="AA60" i="58" s="1"/>
  <c r="AA49" i="58" s="1"/>
  <c r="W54" i="58"/>
  <c r="AN49" i="58"/>
  <c r="AM49" i="58"/>
  <c r="AD49" i="58"/>
  <c r="AC49" i="58"/>
  <c r="V49" i="58"/>
  <c r="U49" i="58"/>
  <c r="R49" i="58"/>
  <c r="Q49" i="58"/>
  <c r="P49" i="58"/>
  <c r="K49" i="58"/>
  <c r="J49" i="58"/>
  <c r="I49" i="58"/>
  <c r="G49" i="58"/>
  <c r="E49" i="58"/>
  <c r="D49" i="58"/>
  <c r="AO47" i="58"/>
  <c r="Z47" i="58"/>
  <c r="M47" i="58"/>
  <c r="AS45" i="58"/>
  <c r="AS47" i="58" s="1"/>
  <c r="AD45" i="58"/>
  <c r="AC45" i="58"/>
  <c r="AC47" i="58" s="1"/>
  <c r="W45" i="58"/>
  <c r="W47" i="58" s="1"/>
  <c r="K45" i="58"/>
  <c r="J45" i="58"/>
  <c r="I45" i="58"/>
  <c r="H45" i="58"/>
  <c r="G45" i="58"/>
  <c r="D45" i="58"/>
  <c r="BB44" i="58"/>
  <c r="BC44" i="58" s="1"/>
  <c r="D105" i="58" s="1"/>
  <c r="AR43" i="58"/>
  <c r="AQ43" i="58"/>
  <c r="AQ45" i="58" s="1"/>
  <c r="AQ47" i="58" s="1"/>
  <c r="AP43" i="58"/>
  <c r="AN43" i="58"/>
  <c r="AM43" i="58"/>
  <c r="AL43" i="58"/>
  <c r="AF43" i="58"/>
  <c r="AC43" i="58"/>
  <c r="AB43" i="58"/>
  <c r="AA43" i="58"/>
  <c r="X43" i="58"/>
  <c r="U43" i="58"/>
  <c r="S43" i="58"/>
  <c r="R43" i="58"/>
  <c r="O43" i="58"/>
  <c r="N43" i="58"/>
  <c r="M43" i="58"/>
  <c r="L43" i="58"/>
  <c r="K43" i="58"/>
  <c r="J43" i="58"/>
  <c r="I43" i="58"/>
  <c r="H43" i="58"/>
  <c r="G43" i="58"/>
  <c r="AK42" i="58"/>
  <c r="AB42" i="58"/>
  <c r="V42" i="58"/>
  <c r="O42" i="58"/>
  <c r="L42" i="58"/>
  <c r="G42" i="58"/>
  <c r="F42" i="58"/>
  <c r="E42" i="58"/>
  <c r="BB42" i="58" s="1"/>
  <c r="BC42" i="58" s="1"/>
  <c r="D103" i="58" s="1"/>
  <c r="AQ41" i="58"/>
  <c r="AP41" i="58"/>
  <c r="AN41" i="58"/>
  <c r="AL41" i="58"/>
  <c r="AK41" i="58"/>
  <c r="AC41" i="58"/>
  <c r="S41" i="58"/>
  <c r="BB40" i="58"/>
  <c r="BC40" i="58" s="1"/>
  <c r="D101" i="58" s="1"/>
  <c r="AR39" i="58"/>
  <c r="AF39" i="58"/>
  <c r="AF45" i="58" s="1"/>
  <c r="X39" i="58"/>
  <c r="BB39" i="58" s="1"/>
  <c r="BC39" i="58" s="1"/>
  <c r="D100" i="58" s="1"/>
  <c r="AR38" i="58"/>
  <c r="AR45" i="58" s="1"/>
  <c r="AR47" i="58" s="1"/>
  <c r="AF38" i="58"/>
  <c r="AA38" i="58"/>
  <c r="AA45" i="58" s="1"/>
  <c r="X38" i="58"/>
  <c r="AM37" i="58"/>
  <c r="AK37" i="58"/>
  <c r="AB37" i="58"/>
  <c r="AB45" i="58" s="1"/>
  <c r="Y37" i="58"/>
  <c r="V37" i="58"/>
  <c r="U37" i="58"/>
  <c r="U45" i="58" s="1"/>
  <c r="T37" i="58"/>
  <c r="P37" i="58"/>
  <c r="O37" i="58"/>
  <c r="N37" i="58"/>
  <c r="M37" i="58"/>
  <c r="K37" i="58"/>
  <c r="G37" i="58"/>
  <c r="F37" i="58"/>
  <c r="E37" i="58"/>
  <c r="BB36" i="58"/>
  <c r="BC36" i="58" s="1"/>
  <c r="D97" i="58" s="1"/>
  <c r="V36" i="58"/>
  <c r="F36" i="58"/>
  <c r="V35" i="58"/>
  <c r="R35" i="58"/>
  <c r="Q35" i="58"/>
  <c r="Q45" i="58" s="1"/>
  <c r="Q47" i="58" s="1"/>
  <c r="O35" i="58"/>
  <c r="F35" i="58"/>
  <c r="BB35" i="58" s="1"/>
  <c r="BC35" i="58" s="1"/>
  <c r="D96" i="58" s="1"/>
  <c r="AK34" i="58"/>
  <c r="BB34" i="58" s="1"/>
  <c r="BC34" i="58" s="1"/>
  <c r="D95" i="58" s="1"/>
  <c r="AB34" i="58"/>
  <c r="V34" i="58"/>
  <c r="O34" i="58"/>
  <c r="J34" i="58"/>
  <c r="G34" i="58"/>
  <c r="F34" i="58"/>
  <c r="E34" i="58"/>
  <c r="V33" i="58"/>
  <c r="O33" i="58"/>
  <c r="BB33" i="58" s="1"/>
  <c r="BC33" i="58" s="1"/>
  <c r="D94" i="58" s="1"/>
  <c r="BB32" i="58"/>
  <c r="BC32" i="58" s="1"/>
  <c r="D93" i="58" s="1"/>
  <c r="V32" i="58"/>
  <c r="V31" i="58"/>
  <c r="O31" i="58"/>
  <c r="AS29" i="58"/>
  <c r="AR29" i="58"/>
  <c r="AQ29" i="58"/>
  <c r="AP29" i="58"/>
  <c r="AO29" i="58"/>
  <c r="AO45" i="58" s="1"/>
  <c r="AN29" i="58"/>
  <c r="AM29" i="58"/>
  <c r="AM45" i="58" s="1"/>
  <c r="AM47" i="58" s="1"/>
  <c r="AL29" i="58"/>
  <c r="AL45" i="58" s="1"/>
  <c r="AL47" i="58" s="1"/>
  <c r="AI29" i="58"/>
  <c r="AI45" i="58" s="1"/>
  <c r="AD29" i="58"/>
  <c r="AC29" i="58"/>
  <c r="AB29" i="58"/>
  <c r="AA29" i="58"/>
  <c r="Z29" i="58"/>
  <c r="Z45" i="58" s="1"/>
  <c r="Y29" i="58"/>
  <c r="X29" i="58"/>
  <c r="W29" i="58"/>
  <c r="V29" i="58"/>
  <c r="U29" i="58"/>
  <c r="T29" i="58"/>
  <c r="S29" i="58"/>
  <c r="S45" i="58" s="1"/>
  <c r="R29" i="58"/>
  <c r="R45" i="58" s="1"/>
  <c r="Q29" i="58"/>
  <c r="P29" i="58"/>
  <c r="O29" i="58"/>
  <c r="N29" i="58"/>
  <c r="N45" i="58" s="1"/>
  <c r="N47" i="58" s="1"/>
  <c r="M29" i="58"/>
  <c r="M45" i="58" s="1"/>
  <c r="L29" i="58"/>
  <c r="K29" i="58"/>
  <c r="J29" i="58"/>
  <c r="I29" i="58"/>
  <c r="H29" i="58"/>
  <c r="G29" i="58"/>
  <c r="F29" i="58"/>
  <c r="E29" i="58"/>
  <c r="D29" i="58"/>
  <c r="BB28" i="58"/>
  <c r="BC28" i="58" s="1"/>
  <c r="D89" i="58" s="1"/>
  <c r="BB27" i="58"/>
  <c r="BC27" i="58" s="1"/>
  <c r="AK26" i="58"/>
  <c r="BB26" i="58" s="1"/>
  <c r="BC26" i="58" s="1"/>
  <c r="F26" i="58"/>
  <c r="E26" i="58"/>
  <c r="BB25" i="58"/>
  <c r="AS20" i="58"/>
  <c r="AR20" i="58"/>
  <c r="AQ20" i="58"/>
  <c r="AP20" i="58"/>
  <c r="AO20" i="58"/>
  <c r="AN20" i="58"/>
  <c r="AM20" i="58"/>
  <c r="AL20" i="58"/>
  <c r="AK20" i="58"/>
  <c r="AI20" i="58"/>
  <c r="AH20" i="58"/>
  <c r="AG20" i="58"/>
  <c r="AF20" i="58"/>
  <c r="AE20" i="58"/>
  <c r="AD20" i="58"/>
  <c r="AD47" i="58" s="1"/>
  <c r="AC20" i="58"/>
  <c r="AB20" i="58"/>
  <c r="AB47" i="58" s="1"/>
  <c r="AA20" i="58"/>
  <c r="AA47" i="58" s="1"/>
  <c r="Z20" i="58"/>
  <c r="Y20" i="58"/>
  <c r="X20" i="58"/>
  <c r="W20" i="58"/>
  <c r="V20" i="58"/>
  <c r="U20" i="58"/>
  <c r="T20" i="58"/>
  <c r="S20" i="58"/>
  <c r="R20" i="58"/>
  <c r="Q20" i="58"/>
  <c r="P20" i="58"/>
  <c r="O20" i="58"/>
  <c r="N20" i="58"/>
  <c r="M20" i="58"/>
  <c r="L20" i="58"/>
  <c r="K20" i="58"/>
  <c r="K47" i="58" s="1"/>
  <c r="J20" i="58"/>
  <c r="J47" i="58" s="1"/>
  <c r="I20" i="58"/>
  <c r="I47" i="58" s="1"/>
  <c r="H20" i="58"/>
  <c r="H47" i="58" s="1"/>
  <c r="D20" i="58"/>
  <c r="D47" i="58" s="1"/>
  <c r="AK19" i="58"/>
  <c r="AB19" i="58"/>
  <c r="F19" i="58"/>
  <c r="E19" i="58"/>
  <c r="BB19" i="58" s="1"/>
  <c r="BC19" i="58" s="1"/>
  <c r="D80" i="58" s="1"/>
  <c r="BB18" i="58"/>
  <c r="BC18" i="58" s="1"/>
  <c r="BB17" i="58"/>
  <c r="BC17" i="58" s="1"/>
  <c r="D78" i="58" s="1"/>
  <c r="G16" i="58"/>
  <c r="G20" i="58" s="1"/>
  <c r="F16" i="58"/>
  <c r="F20" i="58" s="1"/>
  <c r="E16" i="58"/>
  <c r="AS11" i="58"/>
  <c r="AR11" i="58"/>
  <c r="AQ11" i="58"/>
  <c r="AP11" i="58"/>
  <c r="AO11" i="58"/>
  <c r="AN11" i="58"/>
  <c r="AM11" i="58"/>
  <c r="AL11" i="58"/>
  <c r="AK11" i="58"/>
  <c r="AJ11" i="58"/>
  <c r="AI11" i="58"/>
  <c r="AH11" i="58"/>
  <c r="AG11" i="58"/>
  <c r="AF11" i="58"/>
  <c r="AE11" i="58"/>
  <c r="AD11" i="58"/>
  <c r="AC11" i="58"/>
  <c r="AB11" i="58"/>
  <c r="AA11" i="58"/>
  <c r="Z11" i="58"/>
  <c r="Y11" i="58"/>
  <c r="X11" i="58"/>
  <c r="W11" i="58"/>
  <c r="V11" i="58"/>
  <c r="U11" i="58"/>
  <c r="T11" i="58"/>
  <c r="S11" i="58"/>
  <c r="R11" i="58"/>
  <c r="Q11" i="58"/>
  <c r="P11" i="58"/>
  <c r="O11" i="58"/>
  <c r="N11" i="58"/>
  <c r="M11" i="58"/>
  <c r="L11" i="58"/>
  <c r="K11" i="58"/>
  <c r="J11" i="58"/>
  <c r="I11" i="58"/>
  <c r="H11" i="58"/>
  <c r="G11" i="58"/>
  <c r="F11" i="58"/>
  <c r="E11" i="58"/>
  <c r="BB11" i="58" s="1"/>
  <c r="D11" i="58"/>
  <c r="BC11" i="58" s="1"/>
  <c r="AR10" i="58"/>
  <c r="AR9" i="58" s="1"/>
  <c r="AQ10" i="58"/>
  <c r="AQ9" i="58" s="1"/>
  <c r="AP10" i="58"/>
  <c r="AP9" i="58" s="1"/>
  <c r="AN10" i="58"/>
  <c r="AM10" i="58"/>
  <c r="AL10" i="58"/>
  <c r="AK10" i="58"/>
  <c r="AJ10" i="58"/>
  <c r="AI10" i="58"/>
  <c r="AH10" i="58"/>
  <c r="AG10" i="58"/>
  <c r="AG9" i="58" s="1"/>
  <c r="AF10" i="58"/>
  <c r="AF9" i="58" s="1"/>
  <c r="AE10" i="58"/>
  <c r="AE9" i="58" s="1"/>
  <c r="AD10" i="58"/>
  <c r="AD9" i="58" s="1"/>
  <c r="AC10" i="58"/>
  <c r="AB10" i="58"/>
  <c r="AA10" i="58"/>
  <c r="Z10" i="58"/>
  <c r="Y10" i="58"/>
  <c r="Y9" i="58" s="1"/>
  <c r="X10" i="58"/>
  <c r="X9" i="58" s="1"/>
  <c r="W10" i="58"/>
  <c r="W9" i="58" s="1"/>
  <c r="V10" i="58"/>
  <c r="V9" i="58" s="1"/>
  <c r="U10" i="58"/>
  <c r="U9" i="58" s="1"/>
  <c r="T10" i="58"/>
  <c r="T9" i="58" s="1"/>
  <c r="S10" i="58"/>
  <c r="S9" i="58" s="1"/>
  <c r="R10" i="58"/>
  <c r="R9" i="58" s="1"/>
  <c r="Q10" i="58"/>
  <c r="P10" i="58"/>
  <c r="O10" i="58"/>
  <c r="N10" i="58"/>
  <c r="M10" i="58"/>
  <c r="L10" i="58"/>
  <c r="L9" i="58" s="1"/>
  <c r="K10" i="58"/>
  <c r="K9" i="58" s="1"/>
  <c r="J10" i="58"/>
  <c r="J9" i="58" s="1"/>
  <c r="I10" i="58"/>
  <c r="I9" i="58" s="1"/>
  <c r="H10" i="58"/>
  <c r="H9" i="58" s="1"/>
  <c r="G10" i="58"/>
  <c r="G9" i="58" s="1"/>
  <c r="F10" i="58"/>
  <c r="F9" i="58" s="1"/>
  <c r="E10" i="58"/>
  <c r="AO9" i="58"/>
  <c r="AN9" i="58"/>
  <c r="AM9" i="58"/>
  <c r="AL9" i="58"/>
  <c r="AK9" i="58"/>
  <c r="AJ9" i="58"/>
  <c r="AI9" i="58"/>
  <c r="AH9" i="58"/>
  <c r="AC9" i="58"/>
  <c r="AB9" i="58"/>
  <c r="AA9" i="58"/>
  <c r="Z9" i="58"/>
  <c r="Q9" i="58"/>
  <c r="P9" i="58"/>
  <c r="O9" i="58"/>
  <c r="N9" i="58"/>
  <c r="M9" i="58"/>
  <c r="E9" i="58"/>
  <c r="G37" i="6"/>
  <c r="G38" i="6" s="1"/>
  <c r="G39" i="6" s="1"/>
  <c r="G40" i="6" s="1"/>
  <c r="G41" i="6" s="1"/>
  <c r="L20" i="6"/>
  <c r="L21" i="6" s="1"/>
  <c r="L22" i="6" s="1"/>
  <c r="L23" i="6" s="1"/>
  <c r="E117" i="1"/>
  <c r="E112" i="1"/>
  <c r="E102" i="1"/>
  <c r="E116" i="1" s="1"/>
  <c r="E97" i="1"/>
  <c r="C97" i="1"/>
  <c r="T31" i="1"/>
  <c r="T32" i="1"/>
  <c r="T33" i="1"/>
  <c r="T34" i="1"/>
  <c r="T35" i="1"/>
  <c r="T36" i="1"/>
  <c r="T37" i="1"/>
  <c r="T38" i="1"/>
  <c r="T39" i="1"/>
  <c r="T40" i="1"/>
  <c r="T41" i="1"/>
  <c r="T43" i="1"/>
  <c r="T46" i="1"/>
  <c r="T48" i="1"/>
  <c r="T50" i="1"/>
  <c r="T51" i="1"/>
  <c r="T52" i="1"/>
  <c r="T53" i="1"/>
  <c r="T54" i="1"/>
  <c r="T55" i="1"/>
  <c r="T56" i="1"/>
  <c r="T57" i="1"/>
  <c r="T58" i="1"/>
  <c r="T59" i="1"/>
  <c r="T60" i="1"/>
  <c r="T61" i="1"/>
  <c r="T64" i="1"/>
  <c r="T66" i="1"/>
  <c r="T67" i="1"/>
  <c r="T68" i="1"/>
  <c r="T69" i="1"/>
  <c r="T70" i="1"/>
  <c r="T72" i="1"/>
  <c r="T73" i="1"/>
  <c r="T74" i="1"/>
  <c r="T75" i="1"/>
  <c r="T77" i="1"/>
  <c r="T78" i="1"/>
  <c r="T79" i="1"/>
  <c r="T80" i="1"/>
  <c r="T82" i="1"/>
  <c r="T83" i="1"/>
  <c r="T30" i="1"/>
  <c r="C117" i="1"/>
  <c r="C112" i="1"/>
  <c r="A100" i="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F9" i="14"/>
  <c r="E9" i="14"/>
  <c r="E9" i="46"/>
  <c r="D9" i="46"/>
  <c r="CG20" i="44"/>
  <c r="CE20" i="44"/>
  <c r="H62" i="2"/>
  <c r="G62" i="2"/>
  <c r="K36" i="6"/>
  <c r="I36" i="6"/>
  <c r="K24" i="6"/>
  <c r="I24" i="6"/>
  <c r="I27" i="6" s="1"/>
  <c r="AB70" i="58" l="1"/>
  <c r="AB64" i="58"/>
  <c r="F125" i="58"/>
  <c r="G131" i="58"/>
  <c r="G125" i="58"/>
  <c r="M186" i="58"/>
  <c r="M192" i="58"/>
  <c r="X247" i="58"/>
  <c r="X253" i="58"/>
  <c r="AR64" i="58"/>
  <c r="AR70" i="58"/>
  <c r="AS70" i="58"/>
  <c r="AS64" i="58"/>
  <c r="AK314" i="58"/>
  <c r="AK308" i="58"/>
  <c r="BC284" i="58"/>
  <c r="AB308" i="58"/>
  <c r="AB314" i="58"/>
  <c r="I131" i="58"/>
  <c r="I125" i="58"/>
  <c r="U131" i="58"/>
  <c r="U125" i="58"/>
  <c r="AI186" i="58"/>
  <c r="AI192" i="58"/>
  <c r="AC192" i="58"/>
  <c r="AC186" i="58"/>
  <c r="AC253" i="58"/>
  <c r="AC247" i="58"/>
  <c r="I253" i="58"/>
  <c r="I247" i="58"/>
  <c r="V125" i="58"/>
  <c r="BC98" i="58"/>
  <c r="BC159" i="58" s="1"/>
  <c r="D220" i="58" s="1"/>
  <c r="BC220" i="58" s="1"/>
  <c r="D281" i="58" s="1"/>
  <c r="BC281" i="58" s="1"/>
  <c r="V247" i="58"/>
  <c r="AM70" i="58"/>
  <c r="AM64" i="58"/>
  <c r="S125" i="58"/>
  <c r="S131" i="58"/>
  <c r="BC239" i="58"/>
  <c r="D300" i="58" s="1"/>
  <c r="J131" i="58"/>
  <c r="J125" i="58"/>
  <c r="AK247" i="58"/>
  <c r="AK253" i="58"/>
  <c r="Q192" i="58"/>
  <c r="Q186" i="58"/>
  <c r="H70" i="58"/>
  <c r="BC88" i="58"/>
  <c r="D149" i="58" s="1"/>
  <c r="D88" i="58"/>
  <c r="L125" i="58"/>
  <c r="L131" i="58"/>
  <c r="R192" i="58"/>
  <c r="R186" i="58"/>
  <c r="BC286" i="58"/>
  <c r="AC375" i="58"/>
  <c r="AC369" i="58"/>
  <c r="W375" i="58"/>
  <c r="W369" i="58"/>
  <c r="I314" i="58"/>
  <c r="I308" i="58"/>
  <c r="BC277" i="58"/>
  <c r="J64" i="58"/>
  <c r="J70" i="58"/>
  <c r="N70" i="58"/>
  <c r="N64" i="58"/>
  <c r="Q70" i="58"/>
  <c r="Q64" i="58"/>
  <c r="AA192" i="58"/>
  <c r="AA186" i="58"/>
  <c r="T186" i="58"/>
  <c r="T192" i="58"/>
  <c r="BC216" i="58"/>
  <c r="D277" i="58" s="1"/>
  <c r="Y369" i="58"/>
  <c r="Y375" i="58"/>
  <c r="AQ375" i="58"/>
  <c r="AQ369" i="58"/>
  <c r="K64" i="58"/>
  <c r="K70" i="58"/>
  <c r="AQ64" i="58"/>
  <c r="AQ70" i="58"/>
  <c r="AC64" i="58"/>
  <c r="AC70" i="58"/>
  <c r="Y125" i="58"/>
  <c r="Y131" i="58"/>
  <c r="D157" i="58"/>
  <c r="BC157" i="58"/>
  <c r="D218" i="58" s="1"/>
  <c r="BC218" i="58" s="1"/>
  <c r="D279" i="58" s="1"/>
  <c r="BC279" i="58" s="1"/>
  <c r="BE96" i="58"/>
  <c r="AB192" i="58"/>
  <c r="AB186" i="58"/>
  <c r="AR192" i="58"/>
  <c r="BC164" i="58"/>
  <c r="D225" i="58" s="1"/>
  <c r="BC225" i="58" s="1"/>
  <c r="D286" i="58" s="1"/>
  <c r="Z253" i="58"/>
  <c r="Z247" i="58"/>
  <c r="K314" i="58"/>
  <c r="K308" i="58"/>
  <c r="AA70" i="58"/>
  <c r="AA64" i="58"/>
  <c r="AL70" i="58"/>
  <c r="AL64" i="58"/>
  <c r="W125" i="58"/>
  <c r="AH192" i="58"/>
  <c r="AH186" i="58"/>
  <c r="AN247" i="58"/>
  <c r="AN253" i="58"/>
  <c r="X131" i="58"/>
  <c r="X125" i="58"/>
  <c r="BC87" i="58"/>
  <c r="D148" i="58" s="1"/>
  <c r="D87" i="58"/>
  <c r="BC155" i="58"/>
  <c r="D216" i="58" s="1"/>
  <c r="BE94" i="58"/>
  <c r="D155" i="58"/>
  <c r="P186" i="58"/>
  <c r="Y253" i="58"/>
  <c r="Y247" i="58"/>
  <c r="D51" i="58"/>
  <c r="D64" i="58"/>
  <c r="D71" i="58"/>
  <c r="BC95" i="58"/>
  <c r="K131" i="58"/>
  <c r="K125" i="58"/>
  <c r="D164" i="58"/>
  <c r="BE103" i="58"/>
  <c r="AJ253" i="58"/>
  <c r="W64" i="58"/>
  <c r="L47" i="58"/>
  <c r="U192" i="58"/>
  <c r="U186" i="58"/>
  <c r="AG186" i="58"/>
  <c r="AG192" i="58"/>
  <c r="AS186" i="58"/>
  <c r="AS192" i="58"/>
  <c r="BC180" i="58"/>
  <c r="D241" i="58" s="1"/>
  <c r="BC241" i="58" s="1"/>
  <c r="D302" i="58" s="1"/>
  <c r="BC302" i="58" s="1"/>
  <c r="AA253" i="58"/>
  <c r="AA247" i="58"/>
  <c r="AM253" i="58"/>
  <c r="AM247" i="58"/>
  <c r="K192" i="58"/>
  <c r="BC179" i="58"/>
  <c r="D240" i="58" s="1"/>
  <c r="BC240" i="58" s="1"/>
  <c r="D301" i="58" s="1"/>
  <c r="W308" i="58"/>
  <c r="F375" i="58"/>
  <c r="AF47" i="58"/>
  <c r="AJ167" i="58"/>
  <c r="AJ169" i="58" s="1"/>
  <c r="L192" i="58"/>
  <c r="AR253" i="58"/>
  <c r="BB300" i="58"/>
  <c r="AQ304" i="58"/>
  <c r="AQ293" i="58" s="1"/>
  <c r="I70" i="58"/>
  <c r="I64" i="58"/>
  <c r="AK29" i="58"/>
  <c r="BB54" i="58"/>
  <c r="W60" i="58"/>
  <c r="W49" i="58" s="1"/>
  <c r="AO192" i="58"/>
  <c r="AO186" i="58"/>
  <c r="D420" i="58"/>
  <c r="V369" i="58"/>
  <c r="AJ125" i="58"/>
  <c r="AK131" i="58"/>
  <c r="Z192" i="58"/>
  <c r="Z186" i="58"/>
  <c r="N192" i="58"/>
  <c r="Z369" i="58"/>
  <c r="Z375" i="58"/>
  <c r="H375" i="58"/>
  <c r="BB141" i="58"/>
  <c r="BC162" i="58"/>
  <c r="D223" i="58" s="1"/>
  <c r="BC223" i="58" s="1"/>
  <c r="D284" i="58" s="1"/>
  <c r="Z70" i="58"/>
  <c r="M108" i="58"/>
  <c r="BB92" i="58"/>
  <c r="BC92" i="58" s="1"/>
  <c r="O106" i="58"/>
  <c r="O108" i="58" s="1"/>
  <c r="AA121" i="58"/>
  <c r="AA110" i="58" s="1"/>
  <c r="AN192" i="58"/>
  <c r="AN186" i="58"/>
  <c r="BC166" i="58"/>
  <c r="D227" i="58" s="1"/>
  <c r="BC227" i="58" s="1"/>
  <c r="D288" i="58" s="1"/>
  <c r="BC288" i="58" s="1"/>
  <c r="Q230" i="58"/>
  <c r="BC393" i="58"/>
  <c r="BC395" i="58" s="1"/>
  <c r="AE430" i="58"/>
  <c r="AE436" i="58"/>
  <c r="E20" i="58"/>
  <c r="L45" i="58"/>
  <c r="X45" i="58"/>
  <c r="X47" i="58" s="1"/>
  <c r="AL60" i="58"/>
  <c r="AL49" i="58" s="1"/>
  <c r="N108" i="58"/>
  <c r="Z108" i="58"/>
  <c r="AM108" i="58"/>
  <c r="AB121" i="58"/>
  <c r="AB110" i="58" s="1"/>
  <c r="D119" i="58"/>
  <c r="V186" i="58"/>
  <c r="AR182" i="58"/>
  <c r="AR171" i="58" s="1"/>
  <c r="AR314" i="58"/>
  <c r="AR308" i="58"/>
  <c r="J436" i="58"/>
  <c r="V430" i="58"/>
  <c r="AH436" i="58"/>
  <c r="AH430" i="58"/>
  <c r="AF430" i="58"/>
  <c r="AF436" i="58"/>
  <c r="AD125" i="58"/>
  <c r="BB100" i="58"/>
  <c r="BC100" i="58" s="1"/>
  <c r="I186" i="58"/>
  <c r="I192" i="58"/>
  <c r="AH253" i="58"/>
  <c r="U314" i="58"/>
  <c r="AS291" i="58"/>
  <c r="AJ314" i="58"/>
  <c r="F308" i="58"/>
  <c r="AH375" i="58"/>
  <c r="AH369" i="58"/>
  <c r="G430" i="58"/>
  <c r="G436" i="58"/>
  <c r="BC139" i="58"/>
  <c r="D200" i="58" s="1"/>
  <c r="BC200" i="58" s="1"/>
  <c r="D261" i="58" s="1"/>
  <c r="BC261" i="58" s="1"/>
  <c r="AF192" i="58"/>
  <c r="W230" i="58"/>
  <c r="AF247" i="58"/>
  <c r="L247" i="58"/>
  <c r="L253" i="58"/>
  <c r="AO247" i="58"/>
  <c r="J314" i="58"/>
  <c r="V308" i="58"/>
  <c r="BB264" i="58"/>
  <c r="U308" i="58"/>
  <c r="Q369" i="58"/>
  <c r="Q375" i="58"/>
  <c r="J369" i="58"/>
  <c r="R375" i="58"/>
  <c r="R369" i="58"/>
  <c r="AP375" i="58"/>
  <c r="AP369" i="58"/>
  <c r="S47" i="58"/>
  <c r="AS131" i="58"/>
  <c r="AS125" i="58"/>
  <c r="M247" i="58"/>
  <c r="AI291" i="58"/>
  <c r="H64" i="58"/>
  <c r="BC97" i="58"/>
  <c r="O45" i="58"/>
  <c r="O47" i="58" s="1"/>
  <c r="Y192" i="58"/>
  <c r="Y186" i="58"/>
  <c r="AL230" i="58"/>
  <c r="AS247" i="58"/>
  <c r="AS248" i="58" s="1"/>
  <c r="AD70" i="58"/>
  <c r="AH106" i="58"/>
  <c r="AH108" i="58" s="1"/>
  <c r="BB202" i="58"/>
  <c r="AI47" i="58"/>
  <c r="AI106" i="58"/>
  <c r="AI108" i="58" s="1"/>
  <c r="AN45" i="58"/>
  <c r="AN47" i="58" s="1"/>
  <c r="Z64" i="58"/>
  <c r="AP45" i="58"/>
  <c r="AP47" i="58" s="1"/>
  <c r="AP70" i="58" s="1"/>
  <c r="BB41" i="58"/>
  <c r="BC41" i="58" s="1"/>
  <c r="D102" i="58" s="1"/>
  <c r="BB80" i="58"/>
  <c r="BC80" i="58" s="1"/>
  <c r="D141" i="58" s="1"/>
  <c r="BC93" i="58"/>
  <c r="BC105" i="58"/>
  <c r="AD121" i="58"/>
  <c r="AD110" i="58" s="1"/>
  <c r="AS121" i="58"/>
  <c r="AS110" i="58" s="1"/>
  <c r="F169" i="58"/>
  <c r="AQ171" i="58"/>
  <c r="K186" i="58"/>
  <c r="AF186" i="58"/>
  <c r="BB298" i="58"/>
  <c r="M308" i="58"/>
  <c r="M314" i="58"/>
  <c r="X375" i="58"/>
  <c r="AG430" i="58"/>
  <c r="AG436" i="58"/>
  <c r="AL125" i="58"/>
  <c r="AL131" i="58"/>
  <c r="AD182" i="58"/>
  <c r="AD171" i="58" s="1"/>
  <c r="AJ247" i="58"/>
  <c r="AJ308" i="58"/>
  <c r="AB430" i="58"/>
  <c r="AB436" i="58"/>
  <c r="X186" i="58"/>
  <c r="X192" i="58"/>
  <c r="AD243" i="58"/>
  <c r="AD232" i="58" s="1"/>
  <c r="BB237" i="58"/>
  <c r="G375" i="58"/>
  <c r="G369" i="58"/>
  <c r="AG106" i="58"/>
  <c r="AG108" i="58" s="1"/>
  <c r="AO131" i="58"/>
  <c r="AK186" i="58"/>
  <c r="AK192" i="58"/>
  <c r="N253" i="58"/>
  <c r="AQ192" i="58"/>
  <c r="AF253" i="58"/>
  <c r="AR369" i="58"/>
  <c r="AR375" i="58"/>
  <c r="AK125" i="58"/>
  <c r="P430" i="58"/>
  <c r="G47" i="58"/>
  <c r="M70" i="58"/>
  <c r="M64" i="58"/>
  <c r="P125" i="58"/>
  <c r="AB108" i="58"/>
  <c r="W131" i="58"/>
  <c r="BB176" i="58"/>
  <c r="H253" i="58"/>
  <c r="H247" i="58"/>
  <c r="M253" i="58"/>
  <c r="S291" i="58"/>
  <c r="AQ291" i="58"/>
  <c r="BB272" i="58"/>
  <c r="X314" i="58"/>
  <c r="X308" i="58"/>
  <c r="BB299" i="58"/>
  <c r="W314" i="58"/>
  <c r="N314" i="58"/>
  <c r="X413" i="58"/>
  <c r="N436" i="58"/>
  <c r="N430" i="58"/>
  <c r="R125" i="58"/>
  <c r="AQ108" i="58"/>
  <c r="E142" i="58"/>
  <c r="BB138" i="58"/>
  <c r="W192" i="58"/>
  <c r="K253" i="58"/>
  <c r="K247" i="58"/>
  <c r="AG291" i="58"/>
  <c r="L308" i="58"/>
  <c r="AD314" i="58"/>
  <c r="D369" i="58"/>
  <c r="D356" i="58"/>
  <c r="R47" i="58"/>
  <c r="AR125" i="58"/>
  <c r="BC156" i="58"/>
  <c r="D217" i="58" s="1"/>
  <c r="BC217" i="58" s="1"/>
  <c r="D278" i="58" s="1"/>
  <c r="BC278" i="58" s="1"/>
  <c r="AI230" i="58"/>
  <c r="AH291" i="58"/>
  <c r="BB37" i="58"/>
  <c r="BC37" i="58" s="1"/>
  <c r="D98" i="58" s="1"/>
  <c r="AN125" i="58"/>
  <c r="AN131" i="58"/>
  <c r="U47" i="58"/>
  <c r="AJ131" i="58"/>
  <c r="AQ247" i="58"/>
  <c r="AQ253" i="58"/>
  <c r="Y314" i="58"/>
  <c r="Y308" i="58"/>
  <c r="AL167" i="58"/>
  <c r="AL169" i="58" s="1"/>
  <c r="O230" i="58"/>
  <c r="N369" i="58"/>
  <c r="N375" i="58"/>
  <c r="BB31" i="58"/>
  <c r="BC31" i="58" s="1"/>
  <c r="D92" i="58" s="1"/>
  <c r="R131" i="58"/>
  <c r="AM192" i="58"/>
  <c r="AM186" i="58"/>
  <c r="AP308" i="58"/>
  <c r="AA308" i="58"/>
  <c r="AA314" i="58"/>
  <c r="BC321" i="58"/>
  <c r="BB325" i="58"/>
  <c r="J375" i="58"/>
  <c r="BB16" i="58"/>
  <c r="BB29" i="58"/>
  <c r="BC25" i="58"/>
  <c r="BB38" i="58"/>
  <c r="BC38" i="58" s="1"/>
  <c r="D99" i="58" s="1"/>
  <c r="BB55" i="58"/>
  <c r="BC55" i="58" s="1"/>
  <c r="D116" i="58" s="1"/>
  <c r="AD64" i="58"/>
  <c r="Q125" i="58"/>
  <c r="BC89" i="58"/>
  <c r="D150" i="58" s="1"/>
  <c r="BC120" i="58"/>
  <c r="H192" i="58"/>
  <c r="H186" i="58"/>
  <c r="BB178" i="58"/>
  <c r="BC178" i="58" s="1"/>
  <c r="D239" i="58" s="1"/>
  <c r="N186" i="58"/>
  <c r="AP186" i="58"/>
  <c r="BB203" i="58"/>
  <c r="BB238" i="58"/>
  <c r="N247" i="58"/>
  <c r="AO253" i="58"/>
  <c r="BB269" i="58"/>
  <c r="AN308" i="58"/>
  <c r="AN314" i="58"/>
  <c r="BC363" i="58"/>
  <c r="D424" i="58" s="1"/>
  <c r="BC424" i="58" s="1"/>
  <c r="BB365" i="58"/>
  <c r="BB354" i="58" s="1"/>
  <c r="AE169" i="58"/>
  <c r="Z289" i="58"/>
  <c r="Z291" i="58" s="1"/>
  <c r="AI375" i="58"/>
  <c r="AI369" i="58"/>
  <c r="I375" i="58"/>
  <c r="I369" i="58"/>
  <c r="T430" i="58"/>
  <c r="BB117" i="58"/>
  <c r="BC117" i="58" s="1"/>
  <c r="D178" i="58" s="1"/>
  <c r="G230" i="58"/>
  <c r="S230" i="58"/>
  <c r="AE230" i="58"/>
  <c r="O228" i="58"/>
  <c r="O289" i="58"/>
  <c r="O291" i="58" s="1"/>
  <c r="BB282" i="58"/>
  <c r="L369" i="58"/>
  <c r="L413" i="58"/>
  <c r="AP413" i="58"/>
  <c r="W430" i="58"/>
  <c r="W436" i="58"/>
  <c r="AD426" i="58"/>
  <c r="AD430" i="58" s="1"/>
  <c r="BB420" i="58"/>
  <c r="AE121" i="58"/>
  <c r="AE110" i="58" s="1"/>
  <c r="G169" i="58"/>
  <c r="AN121" i="58"/>
  <c r="AN110" i="58" s="1"/>
  <c r="O167" i="58"/>
  <c r="O169" i="58" s="1"/>
  <c r="BB161" i="58"/>
  <c r="AB228" i="58"/>
  <c r="AB230" i="58" s="1"/>
  <c r="AR243" i="58"/>
  <c r="AR232" i="58" s="1"/>
  <c r="Q291" i="58"/>
  <c r="AC291" i="58"/>
  <c r="AF289" i="58"/>
  <c r="AF291" i="58" s="1"/>
  <c r="BC410" i="58"/>
  <c r="H108" i="58"/>
  <c r="F247" i="58"/>
  <c r="AJ243" i="58"/>
  <c r="AJ232" i="58" s="1"/>
  <c r="AL289" i="58"/>
  <c r="AL291" i="58" s="1"/>
  <c r="AO308" i="58"/>
  <c r="AO314" i="58"/>
  <c r="K369" i="58"/>
  <c r="J169" i="58"/>
  <c r="U230" i="58"/>
  <c r="AG230" i="58"/>
  <c r="R291" i="58"/>
  <c r="AD291" i="58"/>
  <c r="AD369" i="58"/>
  <c r="BC383" i="58"/>
  <c r="BC404" i="58"/>
  <c r="Y436" i="58"/>
  <c r="Y430" i="58"/>
  <c r="AF108" i="58"/>
  <c r="S169" i="58"/>
  <c r="R230" i="58"/>
  <c r="AC106" i="58"/>
  <c r="AC108" i="58" s="1"/>
  <c r="BC101" i="58"/>
  <c r="AR121" i="58"/>
  <c r="AR110" i="58" s="1"/>
  <c r="T125" i="58"/>
  <c r="W169" i="58"/>
  <c r="J230" i="58"/>
  <c r="G291" i="58"/>
  <c r="AE291" i="58"/>
  <c r="AS304" i="58"/>
  <c r="AS293" i="58" s="1"/>
  <c r="O352" i="58"/>
  <c r="AA352" i="58"/>
  <c r="AS352" i="58"/>
  <c r="S375" i="58"/>
  <c r="S369" i="58"/>
  <c r="AE375" i="58"/>
  <c r="AE369" i="58"/>
  <c r="O413" i="58"/>
  <c r="AS413" i="58"/>
  <c r="K430" i="58"/>
  <c r="AC436" i="58"/>
  <c r="AC430" i="58"/>
  <c r="BB215" i="58"/>
  <c r="H430" i="58"/>
  <c r="BB301" i="58"/>
  <c r="D392" i="58"/>
  <c r="D395" i="58" s="1"/>
  <c r="BC334" i="58"/>
  <c r="T375" i="58"/>
  <c r="I430" i="58"/>
  <c r="AL243" i="58"/>
  <c r="AL232" i="58" s="1"/>
  <c r="BB275" i="58"/>
  <c r="AG375" i="58"/>
  <c r="AG369" i="58"/>
  <c r="S413" i="58"/>
  <c r="BC392" i="58"/>
  <c r="BC399" i="58"/>
  <c r="I436" i="58"/>
  <c r="AI436" i="58"/>
  <c r="AI430" i="58"/>
  <c r="P369" i="58"/>
  <c r="AB352" i="58"/>
  <c r="Q413" i="58"/>
  <c r="T436" i="58"/>
  <c r="BC403" i="58"/>
  <c r="H291" i="58"/>
  <c r="T291" i="58"/>
  <c r="M352" i="58"/>
  <c r="Z430" i="58"/>
  <c r="AA413" i="58"/>
  <c r="F430" i="58"/>
  <c r="BC425" i="58"/>
  <c r="U430" i="58"/>
  <c r="U436" i="58"/>
  <c r="AQ436" i="58"/>
  <c r="BB334" i="58"/>
  <c r="K27" i="6"/>
  <c r="K26" i="6"/>
  <c r="AS488" i="2"/>
  <c r="AS510" i="2" s="1"/>
  <c r="AS485" i="2"/>
  <c r="AS507" i="2" s="1"/>
  <c r="AS436" i="2"/>
  <c r="AS429" i="2"/>
  <c r="AS428" i="2"/>
  <c r="AS426" i="2"/>
  <c r="AS395" i="2"/>
  <c r="AS411" i="2" s="1"/>
  <c r="AS386" i="2"/>
  <c r="AS368" i="2"/>
  <c r="AS367" i="2"/>
  <c r="AS365" i="2"/>
  <c r="AS334" i="2"/>
  <c r="AS350" i="2" s="1"/>
  <c r="AS325" i="2"/>
  <c r="AS301" i="2"/>
  <c r="AS299" i="2"/>
  <c r="AS298" i="2"/>
  <c r="AS287" i="2"/>
  <c r="AS283" i="2"/>
  <c r="AS282" i="2"/>
  <c r="AS273" i="2"/>
  <c r="AS264" i="2"/>
  <c r="AS240" i="2"/>
  <c r="AS238" i="2"/>
  <c r="AS237" i="2"/>
  <c r="AS243" i="2" s="1"/>
  <c r="AS232" i="2" s="1"/>
  <c r="AS479" i="2" s="1"/>
  <c r="AS501" i="2" s="1"/>
  <c r="AS226" i="2"/>
  <c r="AS222" i="2"/>
  <c r="AS221" i="2"/>
  <c r="AS212" i="2"/>
  <c r="AS203" i="2"/>
  <c r="AS179" i="2"/>
  <c r="AS177" i="2"/>
  <c r="AS176" i="2"/>
  <c r="AS165" i="2"/>
  <c r="AS161" i="2"/>
  <c r="AS160" i="2"/>
  <c r="AS151" i="2"/>
  <c r="AS167" i="2" s="1"/>
  <c r="AS142" i="2"/>
  <c r="AS118" i="2"/>
  <c r="AS116" i="2"/>
  <c r="AS115" i="2"/>
  <c r="AS104" i="2"/>
  <c r="AS100" i="2"/>
  <c r="AS99" i="2"/>
  <c r="AS90" i="2"/>
  <c r="AS81" i="2"/>
  <c r="AS60" i="2"/>
  <c r="AS470" i="2" s="1"/>
  <c r="AS492" i="2" s="1"/>
  <c r="AS29" i="2"/>
  <c r="AS45" i="2" s="1"/>
  <c r="AS47" i="2" s="1"/>
  <c r="AS20" i="2"/>
  <c r="AS11" i="2"/>
  <c r="AC131" i="58" l="1"/>
  <c r="AC125" i="58"/>
  <c r="AJ186" i="58"/>
  <c r="AJ192" i="58"/>
  <c r="AL186" i="58"/>
  <c r="AL192" i="58"/>
  <c r="AF314" i="58"/>
  <c r="AF308" i="58"/>
  <c r="AS375" i="58"/>
  <c r="AS369" i="58"/>
  <c r="AS370" i="58" s="1"/>
  <c r="O247" i="58"/>
  <c r="O253" i="58"/>
  <c r="W247" i="58"/>
  <c r="M369" i="58"/>
  <c r="M375" i="58"/>
  <c r="AA369" i="58"/>
  <c r="AA375" i="58"/>
  <c r="R314" i="58"/>
  <c r="R308" i="58"/>
  <c r="T314" i="58"/>
  <c r="T308" i="58"/>
  <c r="AG253" i="58"/>
  <c r="AG247" i="58"/>
  <c r="G186" i="58"/>
  <c r="G192" i="58"/>
  <c r="BE100" i="58"/>
  <c r="D161" i="58"/>
  <c r="S186" i="58"/>
  <c r="S192" i="58"/>
  <c r="BB304" i="58"/>
  <c r="BB293" i="58" s="1"/>
  <c r="W70" i="58"/>
  <c r="AD253" i="58"/>
  <c r="Q247" i="58"/>
  <c r="Q253" i="58"/>
  <c r="BC54" i="58"/>
  <c r="BB60" i="58"/>
  <c r="BB49" i="58" s="1"/>
  <c r="AD186" i="58"/>
  <c r="S430" i="58"/>
  <c r="S436" i="58"/>
  <c r="O436" i="58"/>
  <c r="O430" i="58"/>
  <c r="AC308" i="58"/>
  <c r="AC314" i="58"/>
  <c r="O308" i="58"/>
  <c r="O314" i="58"/>
  <c r="BC16" i="58"/>
  <c r="BB20" i="58"/>
  <c r="AS308" i="58"/>
  <c r="AS309" i="58" s="1"/>
  <c r="AL314" i="58"/>
  <c r="AL308" i="58"/>
  <c r="O192" i="58"/>
  <c r="O186" i="58"/>
  <c r="L436" i="58"/>
  <c r="L430" i="58"/>
  <c r="AI253" i="58"/>
  <c r="AI247" i="58"/>
  <c r="AQ131" i="58"/>
  <c r="AQ125" i="58"/>
  <c r="BE105" i="58"/>
  <c r="D166" i="58"/>
  <c r="AH125" i="58"/>
  <c r="AH131" i="58"/>
  <c r="D426" i="58"/>
  <c r="BC300" i="58"/>
  <c r="D162" i="58"/>
  <c r="BE101" i="58"/>
  <c r="BC99" i="58"/>
  <c r="AG308" i="58"/>
  <c r="AG314" i="58"/>
  <c r="D154" i="58"/>
  <c r="BE93" i="58"/>
  <c r="BC154" i="58"/>
  <c r="D215" i="58" s="1"/>
  <c r="BC215" i="58" s="1"/>
  <c r="D276" i="58" s="1"/>
  <c r="BC276" i="58" s="1"/>
  <c r="O131" i="58"/>
  <c r="O125" i="58"/>
  <c r="BC365" i="58"/>
  <c r="AR247" i="58"/>
  <c r="BE95" i="58"/>
  <c r="D156" i="58"/>
  <c r="AD308" i="58"/>
  <c r="U70" i="58"/>
  <c r="U64" i="58"/>
  <c r="AG131" i="58"/>
  <c r="AG125" i="58"/>
  <c r="BC272" i="58"/>
  <c r="AI314" i="58"/>
  <c r="AI308" i="58"/>
  <c r="R253" i="58"/>
  <c r="R247" i="58"/>
  <c r="R70" i="58"/>
  <c r="R64" i="58"/>
  <c r="AE131" i="58"/>
  <c r="D86" i="58"/>
  <c r="D90" i="58" s="1"/>
  <c r="BC29" i="58"/>
  <c r="BC86" i="58"/>
  <c r="S314" i="58"/>
  <c r="S308" i="58"/>
  <c r="BB243" i="58"/>
  <c r="BB232" i="58" s="1"/>
  <c r="Z131" i="58"/>
  <c r="Z125" i="58"/>
  <c r="BC102" i="58"/>
  <c r="AS430" i="58"/>
  <c r="AS431" i="58" s="1"/>
  <c r="J186" i="58"/>
  <c r="J192" i="58"/>
  <c r="BB426" i="58"/>
  <c r="BB415" i="58" s="1"/>
  <c r="BC420" i="58"/>
  <c r="BC426" i="58" s="1"/>
  <c r="BB273" i="58"/>
  <c r="AD192" i="58"/>
  <c r="AE125" i="58"/>
  <c r="Q308" i="58"/>
  <c r="Q314" i="58"/>
  <c r="Z308" i="58"/>
  <c r="Z314" i="58"/>
  <c r="G64" i="58"/>
  <c r="G70" i="58"/>
  <c r="AN64" i="58"/>
  <c r="AN70" i="58"/>
  <c r="X70" i="58"/>
  <c r="X64" i="58"/>
  <c r="BC150" i="58"/>
  <c r="D211" i="58" s="1"/>
  <c r="BC211" i="58" s="1"/>
  <c r="D272" i="58" s="1"/>
  <c r="AF70" i="58"/>
  <c r="Q436" i="58"/>
  <c r="Q430" i="58"/>
  <c r="BC301" i="58"/>
  <c r="J253" i="58"/>
  <c r="J247" i="58"/>
  <c r="AE253" i="58"/>
  <c r="AE247" i="58"/>
  <c r="BC181" i="58"/>
  <c r="D242" i="58" s="1"/>
  <c r="BC242" i="58" s="1"/>
  <c r="D303" i="58" s="1"/>
  <c r="BC303" i="58" s="1"/>
  <c r="D181" i="58"/>
  <c r="BB121" i="58"/>
  <c r="BB110" i="58" s="1"/>
  <c r="F186" i="58"/>
  <c r="AI131" i="58"/>
  <c r="AI125" i="58"/>
  <c r="S70" i="58"/>
  <c r="S64" i="58"/>
  <c r="AD247" i="58"/>
  <c r="AR186" i="58"/>
  <c r="BB81" i="58"/>
  <c r="AA125" i="58"/>
  <c r="AB125" i="58"/>
  <c r="AB131" i="58"/>
  <c r="BE92" i="58"/>
  <c r="D153" i="58"/>
  <c r="L70" i="58"/>
  <c r="L64" i="58"/>
  <c r="M131" i="58"/>
  <c r="M125" i="58"/>
  <c r="BE98" i="58"/>
  <c r="D159" i="58"/>
  <c r="O375" i="58"/>
  <c r="O369" i="58"/>
  <c r="H131" i="58"/>
  <c r="H125" i="58"/>
  <c r="AQ314" i="58"/>
  <c r="AQ308" i="58"/>
  <c r="AP64" i="58"/>
  <c r="W253" i="58"/>
  <c r="AM131" i="58"/>
  <c r="AM125" i="58"/>
  <c r="BC116" i="58"/>
  <c r="H314" i="58"/>
  <c r="H308" i="58"/>
  <c r="U253" i="58"/>
  <c r="U247" i="58"/>
  <c r="AL247" i="58"/>
  <c r="AL253" i="58"/>
  <c r="AF125" i="58"/>
  <c r="AF131" i="58"/>
  <c r="N131" i="58"/>
  <c r="N125" i="58"/>
  <c r="AE308" i="58"/>
  <c r="AE314" i="58"/>
  <c r="X436" i="58"/>
  <c r="X430" i="58"/>
  <c r="G314" i="58"/>
  <c r="G308" i="58"/>
  <c r="AA430" i="58"/>
  <c r="AA436" i="58"/>
  <c r="AB369" i="58"/>
  <c r="AB375" i="58"/>
  <c r="W186" i="58"/>
  <c r="AB253" i="58"/>
  <c r="AB247" i="58"/>
  <c r="S247" i="58"/>
  <c r="S253" i="58"/>
  <c r="AE192" i="58"/>
  <c r="AE186" i="58"/>
  <c r="D382" i="58"/>
  <c r="BC325" i="58"/>
  <c r="BC153" i="58"/>
  <c r="D214" i="58" s="1"/>
  <c r="BC214" i="58" s="1"/>
  <c r="D275" i="58" s="1"/>
  <c r="AH308" i="58"/>
  <c r="AH314" i="58"/>
  <c r="BB142" i="58"/>
  <c r="BB182" i="58"/>
  <c r="BB171" i="58" s="1"/>
  <c r="AI70" i="58"/>
  <c r="AI64" i="58"/>
  <c r="O64" i="58"/>
  <c r="O70" i="58"/>
  <c r="AR131" i="58"/>
  <c r="AA131" i="58"/>
  <c r="BC275" i="58"/>
  <c r="BC161" i="58"/>
  <c r="D222" i="58" s="1"/>
  <c r="BC222" i="58" s="1"/>
  <c r="D283" i="58" s="1"/>
  <c r="BC283" i="58" s="1"/>
  <c r="AP436" i="58"/>
  <c r="AP430" i="58"/>
  <c r="G253" i="58"/>
  <c r="G247" i="58"/>
  <c r="BC148" i="58"/>
  <c r="D209" i="58" s="1"/>
  <c r="BC209" i="58" s="1"/>
  <c r="D270" i="58" s="1"/>
  <c r="BC270" i="58" s="1"/>
  <c r="BC149" i="58"/>
  <c r="D210" i="58" s="1"/>
  <c r="BC210" i="58" s="1"/>
  <c r="D271" i="58" s="1"/>
  <c r="BC271" i="58" s="1"/>
  <c r="AD131" i="58"/>
  <c r="BE97" i="58"/>
  <c r="D158" i="58"/>
  <c r="BC158" i="58"/>
  <c r="D219" i="58" s="1"/>
  <c r="BC219" i="58" s="1"/>
  <c r="D280" i="58" s="1"/>
  <c r="BC280" i="58" s="1"/>
  <c r="BC141" i="58"/>
  <c r="D202" i="58" s="1"/>
  <c r="BC202" i="58" s="1"/>
  <c r="D263" i="58" s="1"/>
  <c r="BC263" i="58" s="1"/>
  <c r="AS169" i="2"/>
  <c r="AS475" i="2" s="1"/>
  <c r="AS497" i="2" s="1"/>
  <c r="AS121" i="2"/>
  <c r="AS110" i="2" s="1"/>
  <c r="AS473" i="2" s="1"/>
  <c r="AS495" i="2" s="1"/>
  <c r="AS106" i="2"/>
  <c r="AS108" i="2" s="1"/>
  <c r="AS131" i="2" s="1"/>
  <c r="AS352" i="2"/>
  <c r="AS369" i="2" s="1"/>
  <c r="AS370" i="2" s="1"/>
  <c r="AS486" i="2" s="1"/>
  <c r="AS508" i="2" s="1"/>
  <c r="AS182" i="2"/>
  <c r="AS171" i="2" s="1"/>
  <c r="AS476" i="2" s="1"/>
  <c r="AS498" i="2" s="1"/>
  <c r="AS289" i="2"/>
  <c r="AS291" i="2" s="1"/>
  <c r="AS413" i="2"/>
  <c r="AS228" i="2"/>
  <c r="AS230" i="2" s="1"/>
  <c r="AS478" i="2" s="1"/>
  <c r="AS500" i="2" s="1"/>
  <c r="AS304" i="2"/>
  <c r="AS293" i="2" s="1"/>
  <c r="AS482" i="2" s="1"/>
  <c r="AS504" i="2" s="1"/>
  <c r="AS430" i="2"/>
  <c r="AS431" i="2" s="1"/>
  <c r="AS489" i="2" s="1"/>
  <c r="AS511" i="2" s="1"/>
  <c r="AS487" i="2"/>
  <c r="AS509" i="2" s="1"/>
  <c r="AS469" i="2"/>
  <c r="AS491" i="2" s="1"/>
  <c r="AS70" i="2"/>
  <c r="D386" i="58" l="1"/>
  <c r="BC382" i="58"/>
  <c r="BC386" i="58" s="1"/>
  <c r="BC354" i="58"/>
  <c r="BC377" i="58"/>
  <c r="D160" i="58"/>
  <c r="BE99" i="58"/>
  <c r="BC160" i="58"/>
  <c r="D221" i="58" s="1"/>
  <c r="BC221" i="58" s="1"/>
  <c r="D282" i="58" s="1"/>
  <c r="BC282" i="58" s="1"/>
  <c r="D415" i="58"/>
  <c r="D438" i="58"/>
  <c r="D77" i="58"/>
  <c r="D81" i="58" s="1"/>
  <c r="BC20" i="58"/>
  <c r="BC77" i="58"/>
  <c r="D177" i="58"/>
  <c r="BC177" i="58"/>
  <c r="D238" i="58" s="1"/>
  <c r="BC238" i="58" s="1"/>
  <c r="D299" i="58" s="1"/>
  <c r="BC299" i="58" s="1"/>
  <c r="D163" i="58"/>
  <c r="BE102" i="58"/>
  <c r="BC163" i="58"/>
  <c r="D224" i="58" s="1"/>
  <c r="BC224" i="58" s="1"/>
  <c r="D285" i="58" s="1"/>
  <c r="BC285" i="58" s="1"/>
  <c r="BC90" i="58"/>
  <c r="D147" i="58"/>
  <c r="D151" i="58" s="1"/>
  <c r="BC147" i="58"/>
  <c r="D115" i="58"/>
  <c r="D121" i="58" s="1"/>
  <c r="BC60" i="58"/>
  <c r="BC115" i="58"/>
  <c r="BC438" i="58"/>
  <c r="BC415" i="58"/>
  <c r="AS481" i="2"/>
  <c r="AS503" i="2" s="1"/>
  <c r="AS192" i="2"/>
  <c r="AS375" i="2"/>
  <c r="AS484" i="2"/>
  <c r="AS506" i="2" s="1"/>
  <c r="AS472" i="2"/>
  <c r="AS494" i="2" s="1"/>
  <c r="D176" i="58" l="1"/>
  <c r="D182" i="58" s="1"/>
  <c r="BC121" i="58"/>
  <c r="BC176" i="58"/>
  <c r="BC72" i="58"/>
  <c r="BC49" i="58"/>
  <c r="D133" i="58"/>
  <c r="D110" i="58"/>
  <c r="D208" i="58"/>
  <c r="BC151" i="58"/>
  <c r="BC81" i="58"/>
  <c r="D138" i="58"/>
  <c r="D142" i="58" s="1"/>
  <c r="BC138" i="58"/>
  <c r="A74" i="44"/>
  <c r="A75" i="44"/>
  <c r="A67" i="44"/>
  <c r="A68" i="44"/>
  <c r="A69" i="44"/>
  <c r="A70" i="44"/>
  <c r="A71" i="44"/>
  <c r="A72" i="44"/>
  <c r="A73" i="44"/>
  <c r="D212" i="58" l="1"/>
  <c r="BC208" i="58"/>
  <c r="D237" i="58"/>
  <c r="BC182" i="58"/>
  <c r="BC133" i="58"/>
  <c r="BC110" i="58"/>
  <c r="BC142" i="58"/>
  <c r="D199" i="58"/>
  <c r="D171" i="58"/>
  <c r="D194" i="58"/>
  <c r="BU48" i="45"/>
  <c r="BU49" i="45"/>
  <c r="D203" i="58" l="1"/>
  <c r="BC199" i="58"/>
  <c r="BC194" i="58"/>
  <c r="BC171" i="58"/>
  <c r="D243" i="58"/>
  <c r="BC237" i="58"/>
  <c r="D269" i="58"/>
  <c r="BC212" i="58"/>
  <c r="G89" i="3"/>
  <c r="G88" i="3"/>
  <c r="G87" i="3"/>
  <c r="G86" i="3"/>
  <c r="G85" i="3"/>
  <c r="G84" i="3"/>
  <c r="G83" i="3"/>
  <c r="G82" i="3"/>
  <c r="G81" i="3"/>
  <c r="G80" i="3"/>
  <c r="G79" i="3"/>
  <c r="G78" i="3"/>
  <c r="G54" i="3"/>
  <c r="G53" i="3"/>
  <c r="G52" i="3"/>
  <c r="G51" i="3"/>
  <c r="G50" i="3"/>
  <c r="G75" i="3"/>
  <c r="G74" i="3"/>
  <c r="G73" i="3"/>
  <c r="G72" i="3"/>
  <c r="G71" i="3"/>
  <c r="G70" i="3"/>
  <c r="G69" i="3"/>
  <c r="G68" i="3"/>
  <c r="G67" i="3"/>
  <c r="G66" i="3"/>
  <c r="G65" i="3"/>
  <c r="G64" i="3"/>
  <c r="G63" i="3"/>
  <c r="G62" i="3"/>
  <c r="G61" i="3"/>
  <c r="G60" i="3"/>
  <c r="G59" i="3"/>
  <c r="G58" i="3"/>
  <c r="D273" i="58" l="1"/>
  <c r="BC269" i="58"/>
  <c r="BC273" i="58" s="1"/>
  <c r="D255" i="58"/>
  <c r="D232" i="58"/>
  <c r="BC203" i="58"/>
  <c r="D260" i="58"/>
  <c r="D298" i="58"/>
  <c r="BC243" i="58"/>
  <c r="AD26" i="52"/>
  <c r="Y26" i="52"/>
  <c r="S26" i="52"/>
  <c r="N26" i="52"/>
  <c r="I26" i="52"/>
  <c r="J26" i="52" s="1"/>
  <c r="BC255" i="58" l="1"/>
  <c r="BC232" i="58"/>
  <c r="D304" i="58"/>
  <c r="BC298" i="58"/>
  <c r="BC304" i="58" s="1"/>
  <c r="D264" i="58"/>
  <c r="BC260" i="58"/>
  <c r="BC264" i="58" s="1"/>
  <c r="O26" i="52"/>
  <c r="T26" i="52" s="1"/>
  <c r="Z26" i="52" s="1"/>
  <c r="AE26" i="52" s="1"/>
  <c r="BC316" i="58" l="1"/>
  <c r="BC293" i="58"/>
  <c r="D293" i="58"/>
  <c r="D316" i="58"/>
  <c r="B45" i="6"/>
  <c r="B44" i="6"/>
  <c r="B43" i="6"/>
  <c r="B52" i="6"/>
  <c r="B51" i="6"/>
  <c r="B50" i="6"/>
  <c r="IA22" i="44" l="1"/>
  <c r="IA23" i="44"/>
  <c r="IA24" i="44"/>
  <c r="IA25" i="44"/>
  <c r="H60" i="54" l="1"/>
  <c r="J59" i="54"/>
  <c r="F60" i="54" l="1"/>
  <c r="AO20" i="44"/>
  <c r="AQ20" i="44"/>
  <c r="J57" i="54"/>
  <c r="G49" i="3" l="1"/>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X29" i="52" l="1"/>
  <c r="Y29" i="52" s="1"/>
  <c r="AD29" i="52"/>
  <c r="S29" i="52"/>
  <c r="N29" i="52"/>
  <c r="O29" i="52" s="1"/>
  <c r="I29" i="52"/>
  <c r="J29" i="52" s="1"/>
  <c r="T29" i="52" l="1"/>
  <c r="Z29" i="52"/>
  <c r="AE29" i="52"/>
  <c r="AD17" i="52" l="1"/>
  <c r="S18" i="52"/>
  <c r="S17" i="52"/>
  <c r="N18" i="52"/>
  <c r="O18" i="52" s="1"/>
  <c r="N17" i="52"/>
  <c r="I18" i="52"/>
  <c r="J18" i="52" s="1"/>
  <c r="I17" i="52"/>
  <c r="J17" i="52" s="1"/>
  <c r="O17" i="52" l="1"/>
  <c r="T17" i="52"/>
  <c r="T18" i="52"/>
  <c r="Y18" i="52" l="1"/>
  <c r="Z18" i="52" s="1"/>
  <c r="AD18" i="52" s="1"/>
  <c r="AE18" i="52" s="1"/>
  <c r="Y17" i="52"/>
  <c r="Z17" i="52" s="1"/>
  <c r="AE17" i="52" s="1"/>
  <c r="G28" i="52" l="1"/>
  <c r="G34" i="52"/>
  <c r="TX44" i="44" l="1"/>
  <c r="TX43" i="44"/>
  <c r="TX39" i="44"/>
  <c r="TX40" i="44"/>
  <c r="TX41" i="44"/>
  <c r="TX42" i="44"/>
  <c r="E45" i="51"/>
  <c r="D20" i="54"/>
  <c r="E41" i="44" s="1"/>
  <c r="BC50" i="45" l="1"/>
  <c r="BC51" i="45"/>
  <c r="BC52" i="45"/>
  <c r="BC53" i="45"/>
  <c r="BC54" i="45"/>
  <c r="N43" i="51" l="1"/>
  <c r="BF49" i="45" l="1"/>
  <c r="BI36" i="45"/>
  <c r="BG49" i="45"/>
  <c r="AP80" i="2" l="1"/>
  <c r="N5" i="51" s="1"/>
  <c r="BJ36" i="45"/>
  <c r="BL36" i="45" l="1"/>
  <c r="BN36" i="45" s="1"/>
  <c r="BP36" i="45" l="1"/>
  <c r="BC40" i="45" l="1"/>
  <c r="BC41" i="45"/>
  <c r="BC42" i="45"/>
  <c r="BC43" i="45"/>
  <c r="BC44" i="45"/>
  <c r="BC34" i="45"/>
  <c r="BC35" i="45"/>
  <c r="BC36" i="45"/>
  <c r="BC37" i="45"/>
  <c r="BC38" i="45"/>
  <c r="BC39" i="45"/>
  <c r="VJ26" i="44" l="1"/>
  <c r="VJ27" i="44"/>
  <c r="VJ28" i="44"/>
  <c r="VJ29" i="44"/>
  <c r="VJ30" i="44"/>
  <c r="VJ31" i="44"/>
  <c r="VJ32" i="44"/>
  <c r="AN116" i="2"/>
  <c r="W49" i="44" l="1"/>
  <c r="W50" i="44"/>
  <c r="W51" i="44"/>
  <c r="W52" i="44"/>
  <c r="W53" i="44"/>
  <c r="W54" i="44"/>
  <c r="W55" i="44"/>
  <c r="W56" i="44"/>
  <c r="W58" i="44"/>
  <c r="W59" i="44"/>
  <c r="F112" i="55"/>
  <c r="F111" i="55"/>
  <c r="S75" i="44"/>
  <c r="S76" i="44"/>
  <c r="S77" i="44"/>
  <c r="S78" i="44"/>
  <c r="S79" i="44"/>
  <c r="S40" i="44"/>
  <c r="S41" i="44"/>
  <c r="S42" i="44"/>
  <c r="S43" i="44"/>
  <c r="S44" i="44"/>
  <c r="S45" i="44"/>
  <c r="S46" i="44"/>
  <c r="S47" i="44"/>
  <c r="S48" i="44"/>
  <c r="S49" i="44"/>
  <c r="S50" i="44"/>
  <c r="S51" i="44"/>
  <c r="S52" i="44"/>
  <c r="S53" i="44"/>
  <c r="S54" i="44"/>
  <c r="S55" i="44"/>
  <c r="S56" i="44"/>
  <c r="S57" i="44"/>
  <c r="S58" i="44"/>
  <c r="S59" i="44"/>
  <c r="S60" i="44"/>
  <c r="S61" i="44"/>
  <c r="S62" i="44"/>
  <c r="S63" i="44"/>
  <c r="S64" i="44"/>
  <c r="S65" i="44"/>
  <c r="S66" i="44"/>
  <c r="N130" i="53" l="1"/>
  <c r="V72" i="44"/>
  <c r="V74" i="44"/>
  <c r="V75" i="44"/>
  <c r="W57" i="44"/>
  <c r="W60" i="44"/>
  <c r="X60" i="44" l="1"/>
  <c r="Z60" i="44" s="1"/>
  <c r="AB60" i="44" s="1"/>
  <c r="AD60" i="44" s="1"/>
  <c r="AF60" i="44" s="1"/>
  <c r="AO16" i="44" l="1"/>
  <c r="BI38" i="45" l="1"/>
  <c r="AP102" i="2" s="1"/>
  <c r="BI42" i="45" l="1"/>
  <c r="AP99" i="2" s="1"/>
  <c r="BI21" i="45"/>
  <c r="AP118" i="2" s="1"/>
  <c r="BI20" i="45"/>
  <c r="AP116" i="2" s="1"/>
  <c r="BI19" i="45"/>
  <c r="AP115" i="2" s="1"/>
  <c r="BI30" i="45"/>
  <c r="BI29" i="45"/>
  <c r="BI28" i="45"/>
  <c r="BI27" i="45"/>
  <c r="BI25" i="45"/>
  <c r="BJ42" i="45" l="1"/>
  <c r="BL42" i="45" s="1"/>
  <c r="BI26" i="45"/>
  <c r="E21" i="51" l="1"/>
  <c r="D35" i="54" s="1"/>
  <c r="J72" i="54" l="1"/>
  <c r="J71" i="54"/>
  <c r="J68" i="54"/>
  <c r="J66" i="54"/>
  <c r="J64" i="54"/>
  <c r="J63" i="54"/>
  <c r="J56" i="54"/>
  <c r="J53" i="54"/>
  <c r="J52" i="54"/>
  <c r="J51" i="54"/>
  <c r="J50" i="54"/>
  <c r="J49" i="54"/>
  <c r="J48" i="54"/>
  <c r="J35" i="54"/>
  <c r="J34" i="54"/>
  <c r="J33" i="54"/>
  <c r="J31" i="54"/>
  <c r="J30" i="54"/>
  <c r="J29" i="54"/>
  <c r="J28" i="54"/>
  <c r="J27" i="54"/>
  <c r="J26" i="54"/>
  <c r="J25" i="54"/>
  <c r="J24" i="54"/>
  <c r="J23" i="54"/>
  <c r="J22" i="54"/>
  <c r="J21" i="54"/>
  <c r="J20" i="54"/>
  <c r="J19" i="54"/>
  <c r="J18" i="54"/>
  <c r="J16" i="54"/>
  <c r="J15" i="54"/>
  <c r="W24" i="44"/>
  <c r="J11" i="54"/>
  <c r="W17" i="44"/>
  <c r="J9" i="54"/>
  <c r="J8" i="54"/>
  <c r="J7" i="54"/>
  <c r="J6" i="54"/>
  <c r="J5" i="54" l="1"/>
  <c r="J17" i="54"/>
  <c r="F77" i="54"/>
  <c r="V24" i="44"/>
  <c r="J55" i="54"/>
  <c r="E33" i="44"/>
  <c r="V17" i="44"/>
  <c r="J10" i="54"/>
  <c r="J54" i="54"/>
  <c r="E32" i="44"/>
  <c r="J13" i="54"/>
  <c r="J58" i="54"/>
  <c r="J40" i="54"/>
  <c r="H77" i="54"/>
  <c r="AQ18" i="44" l="1"/>
  <c r="C64" i="14"/>
  <c r="A17" i="48" l="1"/>
  <c r="A16" i="48" l="1"/>
  <c r="A18" i="48"/>
  <c r="A19" i="48"/>
  <c r="A20" i="48"/>
  <c r="F55" i="55" l="1"/>
  <c r="E54" i="55"/>
  <c r="F54" i="55" s="1"/>
  <c r="E53" i="55"/>
  <c r="F53" i="55" s="1"/>
  <c r="D54" i="55"/>
  <c r="D53" i="55"/>
  <c r="D52" i="55"/>
  <c r="A85" i="48"/>
  <c r="A84" i="48"/>
  <c r="F48" i="55" l="1"/>
  <c r="E47" i="55"/>
  <c r="F47" i="55" s="1"/>
  <c r="E46" i="55"/>
  <c r="F46" i="55" s="1"/>
  <c r="E45" i="55"/>
  <c r="F45" i="55" s="1"/>
  <c r="D47" i="55"/>
  <c r="D46" i="55"/>
  <c r="D45" i="55"/>
  <c r="C80" i="14" l="1"/>
  <c r="D80" i="14" s="1"/>
  <c r="E80" i="14" s="1"/>
  <c r="F80" i="14" s="1"/>
  <c r="A77" i="14"/>
  <c r="F106" i="55"/>
  <c r="E105" i="55"/>
  <c r="F105" i="55" s="1"/>
  <c r="E104" i="55"/>
  <c r="F104" i="55" s="1"/>
  <c r="E103" i="55"/>
  <c r="B51" i="14"/>
  <c r="B53" i="14" s="1"/>
  <c r="C49" i="14"/>
  <c r="D49" i="14" s="1"/>
  <c r="E49" i="14" s="1"/>
  <c r="F49" i="14" s="1"/>
  <c r="A96" i="48"/>
  <c r="D112" i="55"/>
  <c r="D111" i="55"/>
  <c r="D110" i="55"/>
  <c r="A95" i="48"/>
  <c r="A97" i="48"/>
  <c r="A98" i="48"/>
  <c r="A99" i="48"/>
  <c r="D119" i="55"/>
  <c r="D118" i="55"/>
  <c r="D105" i="55"/>
  <c r="D104" i="55"/>
  <c r="D103" i="55"/>
  <c r="D98" i="55"/>
  <c r="D97" i="55"/>
  <c r="D96" i="55"/>
  <c r="D91" i="55"/>
  <c r="D90" i="55"/>
  <c r="D89" i="55"/>
  <c r="F85" i="55"/>
  <c r="E84" i="55"/>
  <c r="F84" i="55" s="1"/>
  <c r="D84" i="55"/>
  <c r="E83" i="55"/>
  <c r="F83" i="55" s="1"/>
  <c r="D83" i="55"/>
  <c r="F78" i="55"/>
  <c r="E77" i="55"/>
  <c r="F77" i="55" s="1"/>
  <c r="D77" i="55"/>
  <c r="E76" i="55"/>
  <c r="F76" i="55" s="1"/>
  <c r="D76" i="55"/>
  <c r="E75" i="55"/>
  <c r="F75" i="55" s="1"/>
  <c r="D61" i="55"/>
  <c r="D60" i="55"/>
  <c r="D59" i="55"/>
  <c r="D40" i="55"/>
  <c r="D39" i="55"/>
  <c r="D38" i="55"/>
  <c r="D33" i="55"/>
  <c r="D32" i="55"/>
  <c r="D31" i="55"/>
  <c r="F27" i="55"/>
  <c r="E26" i="55"/>
  <c r="F26" i="55" s="1"/>
  <c r="D26" i="55"/>
  <c r="E25" i="55"/>
  <c r="F25" i="55" s="1"/>
  <c r="D25" i="55"/>
  <c r="F20" i="55"/>
  <c r="E19" i="55"/>
  <c r="F19" i="55" s="1"/>
  <c r="D19" i="55"/>
  <c r="E18" i="55"/>
  <c r="F18" i="55" s="1"/>
  <c r="D18" i="55"/>
  <c r="E17" i="55"/>
  <c r="F17" i="55" s="1"/>
  <c r="F103" i="55" l="1"/>
  <c r="C72" i="14"/>
  <c r="C70" i="14"/>
  <c r="C51" i="14"/>
  <c r="D117" i="55"/>
  <c r="D51" i="14" l="1"/>
  <c r="C53" i="14"/>
  <c r="E51" i="14" l="1"/>
  <c r="D53" i="14"/>
  <c r="F51" i="14" l="1"/>
  <c r="F53" i="14" s="1"/>
  <c r="E53" i="14"/>
  <c r="CW29" i="45" l="1"/>
  <c r="CR25" i="45"/>
  <c r="CR26" i="45"/>
  <c r="CR18" i="45"/>
  <c r="CR19" i="45"/>
  <c r="CR20" i="45"/>
  <c r="CP27" i="45"/>
  <c r="CP29" i="45" s="1"/>
  <c r="CP22" i="45"/>
  <c r="CR21" i="45" l="1"/>
  <c r="CS21" i="45" s="1"/>
  <c r="CW19" i="45"/>
  <c r="CW18" i="45"/>
  <c r="CW21" i="45"/>
  <c r="AR240" i="2" s="1"/>
  <c r="CW20" i="45"/>
  <c r="CX22" i="45"/>
  <c r="CR27" i="45"/>
  <c r="CR29" i="45" s="1"/>
  <c r="CU21" i="45"/>
  <c r="CT26" i="45"/>
  <c r="CV26" i="45" s="1"/>
  <c r="CX26" i="45" s="1"/>
  <c r="CW31" i="45"/>
  <c r="CS20" i="45"/>
  <c r="CS18" i="45"/>
  <c r="CV22" i="45"/>
  <c r="CU20" i="45"/>
  <c r="CQ27" i="45"/>
  <c r="CQ29" i="45" s="1"/>
  <c r="CP31" i="45"/>
  <c r="CU18" i="45"/>
  <c r="CQ22" i="45"/>
  <c r="AR54" i="2"/>
  <c r="CR22" i="45" l="1"/>
  <c r="CW22" i="45"/>
  <c r="CR31" i="45"/>
  <c r="CQ31" i="45"/>
  <c r="AR161" i="2"/>
  <c r="AR237" i="2"/>
  <c r="AR118" i="2"/>
  <c r="AR39" i="2"/>
  <c r="AR38" i="2"/>
  <c r="A244" i="48"/>
  <c r="A243" i="48"/>
  <c r="A242" i="48"/>
  <c r="A241" i="48"/>
  <c r="A240" i="48"/>
  <c r="A239" i="48"/>
  <c r="A238" i="48"/>
  <c r="A237" i="48"/>
  <c r="A236" i="48"/>
  <c r="A235" i="48"/>
  <c r="A234" i="48"/>
  <c r="A233" i="48"/>
  <c r="A232" i="48"/>
  <c r="A231" i="48"/>
  <c r="A230" i="48"/>
  <c r="A229" i="48"/>
  <c r="A228" i="48"/>
  <c r="A227" i="48"/>
  <c r="A226" i="48"/>
  <c r="A225" i="48"/>
  <c r="A224" i="48"/>
  <c r="A223" i="48"/>
  <c r="A222" i="48"/>
  <c r="A221" i="48"/>
  <c r="A220" i="48"/>
  <c r="A219" i="48"/>
  <c r="A218" i="48"/>
  <c r="A217" i="48"/>
  <c r="A216" i="48"/>
  <c r="A215" i="48"/>
  <c r="A214" i="48"/>
  <c r="A213" i="48"/>
  <c r="A212" i="48"/>
  <c r="A211" i="48"/>
  <c r="A210" i="48"/>
  <c r="A209" i="48"/>
  <c r="A208" i="48"/>
  <c r="A207" i="48"/>
  <c r="A206" i="48"/>
  <c r="A205" i="48"/>
  <c r="A204" i="48"/>
  <c r="A203" i="48"/>
  <c r="A202" i="48"/>
  <c r="A201" i="48"/>
  <c r="A200" i="48"/>
  <c r="A199" i="48"/>
  <c r="A198" i="48"/>
  <c r="A197" i="48"/>
  <c r="A196" i="48"/>
  <c r="A195" i="48"/>
  <c r="A194" i="48"/>
  <c r="A193" i="48"/>
  <c r="A192" i="48"/>
  <c r="A191" i="48"/>
  <c r="A190" i="48"/>
  <c r="A189" i="48"/>
  <c r="A188" i="48"/>
  <c r="A187" i="48"/>
  <c r="A186" i="48"/>
  <c r="A185" i="48"/>
  <c r="A184" i="48"/>
  <c r="A183" i="48"/>
  <c r="A182" i="48"/>
  <c r="A181" i="48"/>
  <c r="A180" i="48"/>
  <c r="A179" i="48"/>
  <c r="A178" i="48"/>
  <c r="A177" i="48"/>
  <c r="A176" i="48"/>
  <c r="A175" i="48"/>
  <c r="A174" i="48"/>
  <c r="A173" i="48"/>
  <c r="A172" i="48"/>
  <c r="A171" i="48"/>
  <c r="A170" i="48"/>
  <c r="A169" i="48"/>
  <c r="A168" i="48"/>
  <c r="A167" i="48"/>
  <c r="A166" i="48"/>
  <c r="A165" i="48"/>
  <c r="A164" i="48"/>
  <c r="A163" i="48"/>
  <c r="A162" i="48"/>
  <c r="A161" i="48"/>
  <c r="A160" i="48"/>
  <c r="A159" i="48"/>
  <c r="A158" i="48"/>
  <c r="A157" i="48"/>
  <c r="A156" i="48"/>
  <c r="A155" i="48"/>
  <c r="A154" i="48"/>
  <c r="A153" i="48"/>
  <c r="A152" i="48"/>
  <c r="A151" i="48"/>
  <c r="A150" i="48"/>
  <c r="A149" i="48"/>
  <c r="A148" i="48"/>
  <c r="A147" i="48"/>
  <c r="A146" i="48"/>
  <c r="A145" i="48"/>
  <c r="A144" i="48"/>
  <c r="A143" i="48"/>
  <c r="A142" i="48"/>
  <c r="A141" i="48"/>
  <c r="A140" i="48"/>
  <c r="A139" i="48"/>
  <c r="A138" i="48"/>
  <c r="A137" i="48"/>
  <c r="A136" i="48"/>
  <c r="A135" i="48"/>
  <c r="A134" i="48"/>
  <c r="A133" i="48"/>
  <c r="A132" i="48"/>
  <c r="A131" i="48"/>
  <c r="A130" i="48"/>
  <c r="A129" i="48"/>
  <c r="A128" i="48"/>
  <c r="A127" i="48"/>
  <c r="A126" i="48"/>
  <c r="A125" i="48"/>
  <c r="A124" i="48"/>
  <c r="A123" i="48"/>
  <c r="A122" i="48"/>
  <c r="A121" i="48"/>
  <c r="A120" i="48"/>
  <c r="A119" i="48"/>
  <c r="A118" i="48"/>
  <c r="A117" i="48"/>
  <c r="A116" i="48"/>
  <c r="A115" i="48"/>
  <c r="A114" i="48"/>
  <c r="A113" i="48"/>
  <c r="A112" i="48"/>
  <c r="A111" i="48"/>
  <c r="A110" i="48"/>
  <c r="A109" i="48"/>
  <c r="A108" i="48"/>
  <c r="A107" i="48"/>
  <c r="A106" i="48"/>
  <c r="A105" i="48"/>
  <c r="A104" i="48"/>
  <c r="A103" i="48"/>
  <c r="A102" i="48"/>
  <c r="A101" i="48"/>
  <c r="A100" i="48"/>
  <c r="A94" i="48"/>
  <c r="A93" i="48"/>
  <c r="A92" i="48"/>
  <c r="A91" i="48"/>
  <c r="A90" i="48"/>
  <c r="A89" i="48"/>
  <c r="A88" i="48"/>
  <c r="A87" i="48"/>
  <c r="A86" i="48"/>
  <c r="A83" i="48"/>
  <c r="A82" i="48"/>
  <c r="A81" i="48"/>
  <c r="A80" i="48"/>
  <c r="A79" i="48"/>
  <c r="A78" i="48"/>
  <c r="A77" i="48"/>
  <c r="A76" i="48"/>
  <c r="A75" i="48"/>
  <c r="A74" i="48"/>
  <c r="A73" i="48"/>
  <c r="E72" i="48"/>
  <c r="D72"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15" i="48"/>
  <c r="A14" i="48"/>
  <c r="A13" i="48"/>
  <c r="A12" i="48"/>
  <c r="A11" i="48"/>
  <c r="A10" i="48"/>
  <c r="A9" i="48"/>
  <c r="A8" i="48"/>
  <c r="A7" i="48"/>
  <c r="A6" i="48"/>
  <c r="A5" i="48"/>
  <c r="A4" i="48"/>
  <c r="A3" i="48"/>
  <c r="A2" i="48"/>
  <c r="E53" i="48" l="1"/>
  <c r="D51" i="48"/>
  <c r="D53" i="48"/>
  <c r="D61" i="48"/>
  <c r="E55" i="48"/>
  <c r="E61" i="48"/>
  <c r="AR222" i="2"/>
  <c r="AR221" i="2"/>
  <c r="AR238" i="2"/>
  <c r="AR179" i="2"/>
  <c r="AR176" i="2"/>
  <c r="AR100" i="2"/>
  <c r="AR115" i="2"/>
  <c r="AR57" i="2"/>
  <c r="AR55" i="2"/>
  <c r="AR226" i="2"/>
  <c r="AR43" i="2"/>
  <c r="E51" i="48"/>
  <c r="D55" i="48"/>
  <c r="D49" i="48"/>
  <c r="E49" i="48"/>
  <c r="H179" i="2" l="1"/>
  <c r="H240" i="2"/>
  <c r="H118" i="2"/>
  <c r="PI47" i="44" l="1"/>
  <c r="PK47" i="44" l="1"/>
  <c r="PD44" i="44"/>
  <c r="PE44" i="44"/>
  <c r="UT24" i="44"/>
  <c r="UT26" i="44" s="1"/>
  <c r="UU23" i="44" l="1"/>
  <c r="I33" i="52" l="1"/>
  <c r="VJ22" i="44" l="1"/>
  <c r="VJ23" i="44"/>
  <c r="VJ24" i="44"/>
  <c r="VJ25" i="44"/>
  <c r="AP41" i="2" l="1"/>
  <c r="BN42" i="45" l="1"/>
  <c r="BP42" i="45" s="1"/>
  <c r="AP54" i="2"/>
  <c r="W32" i="51" l="1"/>
  <c r="AP202" i="2"/>
  <c r="AP224" i="2"/>
  <c r="AP55" i="2" l="1"/>
  <c r="L187" i="53" l="1"/>
  <c r="J187" i="53"/>
  <c r="H187" i="53"/>
  <c r="F187" i="53"/>
  <c r="D187" i="53"/>
  <c r="G186" i="53"/>
  <c r="I186" i="53" s="1"/>
  <c r="K186" i="53" s="1"/>
  <c r="M186" i="53" s="1"/>
  <c r="E185" i="53"/>
  <c r="G185" i="53" s="1"/>
  <c r="I185" i="53" s="1"/>
  <c r="K185" i="53" s="1"/>
  <c r="M185" i="53" s="1"/>
  <c r="E184" i="53"/>
  <c r="G184" i="53" s="1"/>
  <c r="D183" i="53"/>
  <c r="G180" i="53"/>
  <c r="H180" i="53" s="1"/>
  <c r="G179" i="53"/>
  <c r="H179" i="53" s="1"/>
  <c r="I179" i="53" s="1"/>
  <c r="K179" i="53" s="1"/>
  <c r="M179" i="53" s="1"/>
  <c r="G178" i="53"/>
  <c r="D176" i="53"/>
  <c r="D188" i="53" s="1"/>
  <c r="G173" i="53"/>
  <c r="G172" i="53"/>
  <c r="H172" i="53" s="1"/>
  <c r="I172" i="53" s="1"/>
  <c r="K172" i="53" s="1"/>
  <c r="M172" i="53" s="1"/>
  <c r="G171" i="53"/>
  <c r="H171" i="53" s="1"/>
  <c r="G170" i="53"/>
  <c r="H170" i="53" s="1"/>
  <c r="I170" i="53" s="1"/>
  <c r="K170" i="53" s="1"/>
  <c r="M170" i="53" s="1"/>
  <c r="G169" i="53"/>
  <c r="H169" i="53" s="1"/>
  <c r="G168" i="53"/>
  <c r="H168" i="53" s="1"/>
  <c r="G167" i="53"/>
  <c r="I184" i="53" l="1"/>
  <c r="G187" i="53"/>
  <c r="I169" i="53"/>
  <c r="K169" i="53" s="1"/>
  <c r="M169" i="53" s="1"/>
  <c r="I171" i="53"/>
  <c r="K171" i="53" s="1"/>
  <c r="M171" i="53" s="1"/>
  <c r="I180" i="53"/>
  <c r="K180" i="53" s="1"/>
  <c r="M180" i="53" s="1"/>
  <c r="H173" i="53"/>
  <c r="E187" i="53"/>
  <c r="I173" i="53" l="1"/>
  <c r="K173" i="53" s="1"/>
  <c r="M173" i="53" s="1"/>
  <c r="I187" i="53"/>
  <c r="K184" i="53"/>
  <c r="K187" i="53" l="1"/>
  <c r="M184" i="53"/>
  <c r="M187" i="53" s="1"/>
  <c r="S285" i="2" l="1"/>
  <c r="AC5" i="52" s="1"/>
  <c r="S41" i="2" l="1"/>
  <c r="H5" i="52" s="1"/>
  <c r="WI16" i="44"/>
  <c r="WK16" i="44" l="1"/>
  <c r="AO281" i="2" s="1"/>
  <c r="UU24" i="44"/>
  <c r="UU26" i="44" s="1"/>
  <c r="UU27" i="44" l="1"/>
  <c r="AO489" i="2" l="1"/>
  <c r="AO511" i="2" s="1"/>
  <c r="AO488" i="2"/>
  <c r="AO510" i="2" s="1"/>
  <c r="AO487" i="2"/>
  <c r="AO509" i="2" s="1"/>
  <c r="AO486" i="2"/>
  <c r="AO508" i="2" s="1"/>
  <c r="AO485" i="2"/>
  <c r="AO507" i="2" s="1"/>
  <c r="AO484" i="2"/>
  <c r="AO506" i="2" s="1"/>
  <c r="AO482" i="2"/>
  <c r="AO504" i="2" s="1"/>
  <c r="AO479" i="2"/>
  <c r="AO501" i="2" s="1"/>
  <c r="AO476" i="2"/>
  <c r="AO498" i="2" s="1"/>
  <c r="AO473" i="2"/>
  <c r="AO495" i="2" s="1"/>
  <c r="AO470" i="2"/>
  <c r="AO492" i="2" s="1"/>
  <c r="AO304" i="2" l="1"/>
  <c r="AO273" i="2"/>
  <c r="AO264" i="2"/>
  <c r="AO243" i="2"/>
  <c r="AO212" i="2"/>
  <c r="AO203" i="2"/>
  <c r="AO182" i="2"/>
  <c r="AO151" i="2"/>
  <c r="AO167" i="2" s="1"/>
  <c r="AO142" i="2"/>
  <c r="AO121" i="2"/>
  <c r="AO90" i="2"/>
  <c r="AO106" i="2" s="1"/>
  <c r="AO81" i="2"/>
  <c r="AO60" i="2"/>
  <c r="AO29" i="2"/>
  <c r="AO45" i="2" s="1"/>
  <c r="AO20" i="2"/>
  <c r="AO11" i="2"/>
  <c r="WB18" i="44"/>
  <c r="WB20" i="44" s="1"/>
  <c r="WL18" i="44"/>
  <c r="WJ18" i="44"/>
  <c r="VY6" i="44"/>
  <c r="VY21" i="44"/>
  <c r="VY20" i="44"/>
  <c r="VY19" i="44"/>
  <c r="WH18" i="44"/>
  <c r="WH20" i="44" s="1"/>
  <c r="WG18" i="44"/>
  <c r="WG20" i="44" s="1"/>
  <c r="WF18" i="44"/>
  <c r="WF20" i="44" s="1"/>
  <c r="WE18" i="44"/>
  <c r="WE20" i="44" s="1"/>
  <c r="WE21" i="44" s="1"/>
  <c r="WD18" i="44"/>
  <c r="WC18" i="44"/>
  <c r="WC20" i="44" s="1"/>
  <c r="WC21" i="44" s="1"/>
  <c r="VY18" i="44"/>
  <c r="VY17" i="44"/>
  <c r="WK18" i="44"/>
  <c r="WI18" i="44"/>
  <c r="AO220" i="2" s="1"/>
  <c r="VY16" i="44"/>
  <c r="VY15" i="44"/>
  <c r="VY8" i="44"/>
  <c r="VY7" i="44"/>
  <c r="VY5" i="44"/>
  <c r="AO169" i="2" l="1"/>
  <c r="AO475" i="2" s="1"/>
  <c r="AO497" i="2" s="1"/>
  <c r="M76" i="48"/>
  <c r="L76" i="48"/>
  <c r="AO108" i="2"/>
  <c r="AO472" i="2" s="1"/>
  <c r="AO494" i="2" s="1"/>
  <c r="AO47" i="2"/>
  <c r="WB21" i="44"/>
  <c r="WK20" i="44"/>
  <c r="WJ20" i="44"/>
  <c r="WJ21" i="44" s="1"/>
  <c r="WL20" i="44"/>
  <c r="WL21" i="44" s="1"/>
  <c r="WI20" i="44"/>
  <c r="WF21" i="44"/>
  <c r="WH21" i="44"/>
  <c r="WG21" i="44"/>
  <c r="AO192" i="2" s="1"/>
  <c r="WD20" i="44"/>
  <c r="WD21" i="44" s="1"/>
  <c r="AO131" i="2" l="1"/>
  <c r="AO469" i="2"/>
  <c r="AO491" i="2" s="1"/>
  <c r="WK21" i="44"/>
  <c r="AO287" i="2"/>
  <c r="AO289" i="2" s="1"/>
  <c r="AO291" i="2" s="1"/>
  <c r="WI21" i="44"/>
  <c r="AO226" i="2"/>
  <c r="AO228" i="2" s="1"/>
  <c r="AO230" i="2" s="1"/>
  <c r="AO481" i="2" l="1"/>
  <c r="AO503" i="2" s="1"/>
  <c r="AO314" i="2"/>
  <c r="AO253" i="2"/>
  <c r="AO478" i="2"/>
  <c r="AO500" i="2" s="1"/>
  <c r="AD30" i="52"/>
  <c r="S28" i="52"/>
  <c r="N28" i="52"/>
  <c r="N30" i="52"/>
  <c r="D51" i="52"/>
  <c r="D6" i="52" s="1"/>
  <c r="UB33" i="44"/>
  <c r="UB29" i="44"/>
  <c r="UB32" i="44"/>
  <c r="L58" i="54" s="1"/>
  <c r="G114" i="53" l="1"/>
  <c r="H90" i="54" l="1"/>
  <c r="P90" i="54" s="1"/>
  <c r="G90" i="54"/>
  <c r="O90" i="54" s="1"/>
  <c r="F90" i="54"/>
  <c r="N90" i="54" s="1"/>
  <c r="E90" i="54"/>
  <c r="M90" i="54" s="1"/>
  <c r="D90" i="54"/>
  <c r="H92" i="54"/>
  <c r="P92" i="54" s="1"/>
  <c r="G92" i="54"/>
  <c r="O92" i="54" s="1"/>
  <c r="F92" i="54"/>
  <c r="N92" i="54" s="1"/>
  <c r="E92" i="54"/>
  <c r="M92" i="54" s="1"/>
  <c r="D92" i="54"/>
  <c r="L92" i="54" s="1"/>
  <c r="I91" i="54"/>
  <c r="H91" i="54"/>
  <c r="P91" i="54" s="1"/>
  <c r="G91" i="54"/>
  <c r="O91" i="54" s="1"/>
  <c r="H89" i="54"/>
  <c r="P89" i="54" s="1"/>
  <c r="G89" i="54"/>
  <c r="O89" i="54" s="1"/>
  <c r="I88" i="54"/>
  <c r="Q88" i="54" s="1"/>
  <c r="I87" i="54"/>
  <c r="Q87" i="54" s="1"/>
  <c r="H87" i="54"/>
  <c r="P87" i="54" s="1"/>
  <c r="G87" i="54"/>
  <c r="O87" i="54" s="1"/>
  <c r="I86" i="54"/>
  <c r="H86" i="54"/>
  <c r="P86" i="54" s="1"/>
  <c r="G86" i="54"/>
  <c r="O86" i="54" s="1"/>
  <c r="I85" i="54"/>
  <c r="H85" i="54"/>
  <c r="P85" i="54" s="1"/>
  <c r="G85" i="54"/>
  <c r="O85" i="54" s="1"/>
  <c r="I84" i="54"/>
  <c r="H84" i="54"/>
  <c r="P84" i="54" s="1"/>
  <c r="G84" i="54"/>
  <c r="O84" i="54" s="1"/>
  <c r="I83" i="54"/>
  <c r="H83" i="54"/>
  <c r="P83" i="54" s="1"/>
  <c r="G83" i="54"/>
  <c r="O83" i="54" s="1"/>
  <c r="I82" i="54"/>
  <c r="H82" i="54"/>
  <c r="P82" i="54" s="1"/>
  <c r="G82" i="54"/>
  <c r="O82" i="54" s="1"/>
  <c r="I81" i="54"/>
  <c r="H81" i="54"/>
  <c r="P81" i="54" s="1"/>
  <c r="G81" i="54"/>
  <c r="O81" i="54" s="1"/>
  <c r="I80" i="54"/>
  <c r="H80" i="54"/>
  <c r="P80" i="54" s="1"/>
  <c r="G80" i="54"/>
  <c r="O80" i="54" s="1"/>
  <c r="L90" i="54" l="1"/>
  <c r="H88" i="54"/>
  <c r="H94" i="54" l="1"/>
  <c r="F83" i="54" l="1"/>
  <c r="N83" i="54" s="1"/>
  <c r="AN273" i="2" l="1"/>
  <c r="AN289" i="2" s="1"/>
  <c r="AN264" i="2"/>
  <c r="AN151" i="2"/>
  <c r="AN167" i="2" s="1"/>
  <c r="AN142" i="2"/>
  <c r="AN90" i="2"/>
  <c r="AN106" i="2" s="1"/>
  <c r="AN81" i="2"/>
  <c r="AN60" i="2"/>
  <c r="AN49" i="2" s="1"/>
  <c r="AN29" i="2"/>
  <c r="AN20" i="2"/>
  <c r="AN203" i="2"/>
  <c r="AN212" i="2"/>
  <c r="VJ17" i="44"/>
  <c r="VJ18" i="44"/>
  <c r="VJ19" i="44"/>
  <c r="VJ20" i="44"/>
  <c r="VJ21" i="44"/>
  <c r="VJ16" i="44"/>
  <c r="VJ15" i="44"/>
  <c r="VJ6" i="44"/>
  <c r="VJ8" i="44"/>
  <c r="VJ7" i="44"/>
  <c r="VJ5" i="44"/>
  <c r="AN169" i="2" l="1"/>
  <c r="AN291" i="2"/>
  <c r="AN108" i="2"/>
  <c r="QA17" i="44" l="1"/>
  <c r="AC224" i="2" s="1"/>
  <c r="V5" i="52" s="1"/>
  <c r="QC17" i="44"/>
  <c r="AC285" i="2" s="1"/>
  <c r="AB5" i="52" s="1"/>
  <c r="PY17" i="44" l="1"/>
  <c r="PY20" i="44" s="1"/>
  <c r="AC165" i="2" s="1"/>
  <c r="PV20" i="44"/>
  <c r="PT20" i="44"/>
  <c r="QH18" i="44"/>
  <c r="QH21" i="44" s="1"/>
  <c r="QG18" i="44"/>
  <c r="QG21" i="44" s="1"/>
  <c r="QF18" i="44"/>
  <c r="QF21" i="44" s="1"/>
  <c r="QE18" i="44"/>
  <c r="QE21" i="44" s="1"/>
  <c r="QD20" i="44"/>
  <c r="QC20" i="44"/>
  <c r="AC287" i="2" s="1"/>
  <c r="QB20" i="44"/>
  <c r="QA20" i="44"/>
  <c r="AC226" i="2" s="1"/>
  <c r="PZ20" i="44"/>
  <c r="PX20" i="44"/>
  <c r="QD18" i="44"/>
  <c r="QC18" i="44"/>
  <c r="QB18" i="44"/>
  <c r="QA18" i="44"/>
  <c r="PZ18" i="44"/>
  <c r="PX18" i="44"/>
  <c r="PY18" i="44" l="1"/>
  <c r="PY21" i="44" s="1"/>
  <c r="PZ21" i="44"/>
  <c r="QA21" i="44"/>
  <c r="QB21" i="44"/>
  <c r="PX21" i="44"/>
  <c r="PW17" i="44"/>
  <c r="PW20" i="44" s="1"/>
  <c r="AC104" i="2" s="1"/>
  <c r="PU17" i="44"/>
  <c r="AC163" i="2"/>
  <c r="Q5" i="52" s="1"/>
  <c r="QC21" i="44"/>
  <c r="QD21" i="44"/>
  <c r="PV18" i="44"/>
  <c r="PV21" i="44" s="1"/>
  <c r="PT18" i="44"/>
  <c r="PT21" i="44" s="1"/>
  <c r="AC102" i="2" l="1"/>
  <c r="PW18" i="44"/>
  <c r="PW21" i="44" s="1"/>
  <c r="PU20" i="44"/>
  <c r="AC41" i="2"/>
  <c r="F5" i="52" s="1"/>
  <c r="PU18" i="44"/>
  <c r="W42" i="44"/>
  <c r="E20" i="51"/>
  <c r="E19" i="51"/>
  <c r="D47" i="54" s="1"/>
  <c r="J47" i="54" s="1"/>
  <c r="E26" i="51"/>
  <c r="D38" i="54" s="1"/>
  <c r="AC43" i="2" l="1"/>
  <c r="L5" i="52"/>
  <c r="W74" i="44"/>
  <c r="W44" i="44"/>
  <c r="L13" i="54"/>
  <c r="W45" i="44"/>
  <c r="L8" i="54"/>
  <c r="L11" i="54"/>
  <c r="W43" i="44"/>
  <c r="J38" i="54"/>
  <c r="H178" i="53"/>
  <c r="I178" i="53" s="1"/>
  <c r="K178" i="53" s="1"/>
  <c r="M178" i="53" s="1"/>
  <c r="PU21" i="44"/>
  <c r="U42" i="44"/>
  <c r="W72" i="44" l="1"/>
  <c r="L7" i="54"/>
  <c r="W75" i="44"/>
  <c r="L60" i="54"/>
  <c r="X45" i="44"/>
  <c r="Z45" i="44" s="1"/>
  <c r="AB45" i="44" s="1"/>
  <c r="AD45" i="44" s="1"/>
  <c r="AF45" i="44" s="1"/>
  <c r="F91" i="54"/>
  <c r="N91" i="54" s="1"/>
  <c r="E91" i="54"/>
  <c r="M91" i="54" s="1"/>
  <c r="D91" i="54"/>
  <c r="L91" i="54" s="1"/>
  <c r="F89" i="54"/>
  <c r="N89" i="54" s="1"/>
  <c r="E89" i="54"/>
  <c r="M89" i="54" s="1"/>
  <c r="F88" i="54"/>
  <c r="N88" i="54" s="1"/>
  <c r="F87" i="54"/>
  <c r="N87" i="54" s="1"/>
  <c r="E87" i="54"/>
  <c r="M87" i="54" s="1"/>
  <c r="Q86" i="54"/>
  <c r="F86" i="54"/>
  <c r="N86" i="54" s="1"/>
  <c r="Q85" i="54"/>
  <c r="F85" i="54"/>
  <c r="N85" i="54" s="1"/>
  <c r="E85" i="54"/>
  <c r="M85" i="54" s="1"/>
  <c r="D85" i="54"/>
  <c r="Q84" i="54"/>
  <c r="F84" i="54"/>
  <c r="N84" i="54" s="1"/>
  <c r="E84" i="54"/>
  <c r="M84" i="54" s="1"/>
  <c r="Q83" i="54"/>
  <c r="E83" i="54"/>
  <c r="M83" i="54" s="1"/>
  <c r="Q82" i="54"/>
  <c r="F82" i="54"/>
  <c r="N82" i="54" s="1"/>
  <c r="E82" i="54"/>
  <c r="M82" i="54" s="1"/>
  <c r="Q81" i="54"/>
  <c r="F81" i="54"/>
  <c r="E81" i="54"/>
  <c r="M81" i="54" s="1"/>
  <c r="Q80" i="54"/>
  <c r="E18" i="44" l="1"/>
  <c r="E25" i="44"/>
  <c r="E23" i="44"/>
  <c r="W18" i="44"/>
  <c r="E28" i="44"/>
  <c r="E20" i="44"/>
  <c r="E50" i="44"/>
  <c r="E47" i="44"/>
  <c r="I35" i="44"/>
  <c r="W22" i="44"/>
  <c r="G29" i="44"/>
  <c r="W28" i="44"/>
  <c r="W32" i="44"/>
  <c r="F80" i="54"/>
  <c r="F94" i="54" s="1"/>
  <c r="G30" i="44"/>
  <c r="G31" i="44"/>
  <c r="D82" i="54"/>
  <c r="J82" i="54" s="1"/>
  <c r="J91" i="54"/>
  <c r="D80" i="54"/>
  <c r="W21" i="44"/>
  <c r="W31" i="44"/>
  <c r="W26" i="44"/>
  <c r="W19" i="44"/>
  <c r="E46" i="44"/>
  <c r="G27" i="44"/>
  <c r="W20" i="44"/>
  <c r="J85" i="54"/>
  <c r="D84" i="54"/>
  <c r="J84" i="54" s="1"/>
  <c r="D87" i="54"/>
  <c r="L87" i="54" s="1"/>
  <c r="D86" i="54"/>
  <c r="E17" i="44"/>
  <c r="K35" i="44"/>
  <c r="E19" i="44"/>
  <c r="M35" i="44"/>
  <c r="E44" i="44"/>
  <c r="E21" i="44"/>
  <c r="E22" i="44"/>
  <c r="E45" i="44"/>
  <c r="E53" i="44"/>
  <c r="D83" i="54"/>
  <c r="J83" i="54" s="1"/>
  <c r="E24" i="44"/>
  <c r="E86" i="54"/>
  <c r="D88" i="54"/>
  <c r="E26" i="44"/>
  <c r="D81" i="54"/>
  <c r="E80" i="54"/>
  <c r="L86" i="54" l="1"/>
  <c r="L88" i="54"/>
  <c r="G77" i="2"/>
  <c r="N81" i="54" s="1"/>
  <c r="AO18" i="44"/>
  <c r="V18" i="44"/>
  <c r="V22" i="44"/>
  <c r="V28" i="44"/>
  <c r="V19" i="44"/>
  <c r="V26" i="44"/>
  <c r="V20" i="44"/>
  <c r="V21" i="44"/>
  <c r="B63" i="14"/>
  <c r="V32" i="44"/>
  <c r="M86" i="54"/>
  <c r="J87" i="54"/>
  <c r="W68" i="44"/>
  <c r="J86" i="54"/>
  <c r="V31" i="44"/>
  <c r="V29" i="44"/>
  <c r="J81" i="54"/>
  <c r="J80" i="54"/>
  <c r="U45" i="44" l="1"/>
  <c r="AN18" i="44"/>
  <c r="AP18" i="44"/>
  <c r="AP20" i="44" s="1"/>
  <c r="U49" i="44"/>
  <c r="U43" i="44"/>
  <c r="U60" i="44"/>
  <c r="V68" i="44"/>
  <c r="U44" i="44"/>
  <c r="AE469" i="2"/>
  <c r="AG469" i="2"/>
  <c r="AH469" i="2"/>
  <c r="AJ469" i="2"/>
  <c r="AT469" i="2"/>
  <c r="AU469" i="2"/>
  <c r="AV469" i="2"/>
  <c r="AW469" i="2"/>
  <c r="AX469" i="2"/>
  <c r="AY469" i="2"/>
  <c r="AZ469" i="2"/>
  <c r="AE470" i="2"/>
  <c r="AG470" i="2"/>
  <c r="AH470" i="2"/>
  <c r="AI470" i="2"/>
  <c r="AJ470" i="2"/>
  <c r="AK470" i="2"/>
  <c r="AN470" i="2"/>
  <c r="AQ470" i="2"/>
  <c r="AT470" i="2"/>
  <c r="AU470" i="2"/>
  <c r="AV470" i="2"/>
  <c r="AW470" i="2"/>
  <c r="AX470" i="2"/>
  <c r="AY470" i="2"/>
  <c r="AZ470" i="2"/>
  <c r="AE471" i="2"/>
  <c r="AF471" i="2"/>
  <c r="AG471" i="2"/>
  <c r="AH471" i="2"/>
  <c r="AJ471" i="2"/>
  <c r="AT471" i="2"/>
  <c r="AU471" i="2"/>
  <c r="AV471" i="2"/>
  <c r="AW471" i="2"/>
  <c r="AX471" i="2"/>
  <c r="AY471" i="2"/>
  <c r="AZ471" i="2"/>
  <c r="AN472" i="2"/>
  <c r="AT472" i="2"/>
  <c r="AU472" i="2"/>
  <c r="AV472" i="2"/>
  <c r="AW472" i="2"/>
  <c r="AX472" i="2"/>
  <c r="AY472" i="2"/>
  <c r="AZ472" i="2"/>
  <c r="AT473" i="2"/>
  <c r="AU473" i="2"/>
  <c r="AV473" i="2"/>
  <c r="AW473" i="2"/>
  <c r="AX473" i="2"/>
  <c r="AY473" i="2"/>
  <c r="AZ473" i="2"/>
  <c r="AT474" i="2"/>
  <c r="AU474" i="2"/>
  <c r="AV474" i="2"/>
  <c r="AW474" i="2"/>
  <c r="AX474" i="2"/>
  <c r="AY474" i="2"/>
  <c r="AZ474" i="2"/>
  <c r="AN475" i="2"/>
  <c r="AT475" i="2"/>
  <c r="AU475" i="2"/>
  <c r="AV475" i="2"/>
  <c r="AW475" i="2"/>
  <c r="AX475" i="2"/>
  <c r="AY475" i="2"/>
  <c r="AZ475" i="2"/>
  <c r="AT476" i="2"/>
  <c r="AU476" i="2"/>
  <c r="AV476" i="2"/>
  <c r="AW476" i="2"/>
  <c r="AX476" i="2"/>
  <c r="AY476" i="2"/>
  <c r="AZ476" i="2"/>
  <c r="AT477" i="2"/>
  <c r="AU477" i="2"/>
  <c r="AV477" i="2"/>
  <c r="AW477" i="2"/>
  <c r="AX477" i="2"/>
  <c r="AY477" i="2"/>
  <c r="AZ477" i="2"/>
  <c r="AT478" i="2"/>
  <c r="AU478" i="2"/>
  <c r="AV478" i="2"/>
  <c r="AW478" i="2"/>
  <c r="AX478" i="2"/>
  <c r="AY478" i="2"/>
  <c r="AZ478" i="2"/>
  <c r="AT479" i="2"/>
  <c r="AU479" i="2"/>
  <c r="AV479" i="2"/>
  <c r="AW479" i="2"/>
  <c r="AX479" i="2"/>
  <c r="AY479" i="2"/>
  <c r="AZ479" i="2"/>
  <c r="AT480" i="2"/>
  <c r="AU480" i="2"/>
  <c r="AV480" i="2"/>
  <c r="AW480" i="2"/>
  <c r="AX480" i="2"/>
  <c r="AY480" i="2"/>
  <c r="AZ480" i="2"/>
  <c r="AN481" i="2"/>
  <c r="AT481" i="2"/>
  <c r="AU481" i="2"/>
  <c r="AV481" i="2"/>
  <c r="AW481" i="2"/>
  <c r="AX481" i="2"/>
  <c r="AY481" i="2"/>
  <c r="AZ481" i="2"/>
  <c r="AT482" i="2"/>
  <c r="AU482" i="2"/>
  <c r="AV482" i="2"/>
  <c r="AW482" i="2"/>
  <c r="AX482" i="2"/>
  <c r="AY482" i="2"/>
  <c r="AZ482" i="2"/>
  <c r="AT483" i="2"/>
  <c r="AU483" i="2"/>
  <c r="AV483" i="2"/>
  <c r="AW483" i="2"/>
  <c r="AX483" i="2"/>
  <c r="AY483" i="2"/>
  <c r="AZ483" i="2"/>
  <c r="AN492" i="2" l="1"/>
  <c r="AN494" i="2"/>
  <c r="AN497" i="2"/>
  <c r="AN503" i="2"/>
  <c r="AN484" i="2"/>
  <c r="AN506" i="2" s="1"/>
  <c r="AN485" i="2"/>
  <c r="AN507" i="2" s="1"/>
  <c r="AN486" i="2"/>
  <c r="AN508" i="2" s="1"/>
  <c r="AN487" i="2"/>
  <c r="AN509" i="2" s="1"/>
  <c r="AN488" i="2"/>
  <c r="AN510" i="2" s="1"/>
  <c r="AN489" i="2"/>
  <c r="AN511" i="2" s="1"/>
  <c r="AF57" i="2" l="1"/>
  <c r="AF55" i="2"/>
  <c r="AF43" i="2"/>
  <c r="AF39" i="2"/>
  <c r="AF38" i="2"/>
  <c r="SA16" i="44"/>
  <c r="AF60" i="2" l="1"/>
  <c r="AF49" i="2" s="1"/>
  <c r="AF45" i="2"/>
  <c r="AF100" i="2"/>
  <c r="AF160" i="2"/>
  <c r="AF282" i="2"/>
  <c r="AF283" i="2"/>
  <c r="AF161" i="2"/>
  <c r="AF222" i="2"/>
  <c r="AF99" i="2"/>
  <c r="AF221" i="2"/>
  <c r="SC16" i="44"/>
  <c r="AF470" i="2" l="1"/>
  <c r="TO21" i="44"/>
  <c r="TO23" i="44" s="1"/>
  <c r="AM226" i="2" s="1"/>
  <c r="AM37" i="2"/>
  <c r="PQ6" i="44"/>
  <c r="AM220" i="2"/>
  <c r="AM484" i="2"/>
  <c r="AM506" i="2" s="1"/>
  <c r="AM485" i="2"/>
  <c r="AM507" i="2" s="1"/>
  <c r="AM486" i="2"/>
  <c r="AM508" i="2" s="1"/>
  <c r="AM487" i="2"/>
  <c r="AM509" i="2" s="1"/>
  <c r="AM488" i="2"/>
  <c r="AM510" i="2" s="1"/>
  <c r="AM489" i="2"/>
  <c r="AM511" i="2" s="1"/>
  <c r="AM304" i="2"/>
  <c r="AM293" i="2" s="1"/>
  <c r="AM273" i="2"/>
  <c r="AM289" i="2" s="1"/>
  <c r="AM264" i="2"/>
  <c r="AM243" i="2"/>
  <c r="AM232" i="2" s="1"/>
  <c r="AM212" i="2"/>
  <c r="AM203" i="2"/>
  <c r="AM182" i="2"/>
  <c r="AM171" i="2" s="1"/>
  <c r="AM151" i="2"/>
  <c r="AM167" i="2" s="1"/>
  <c r="AM142" i="2"/>
  <c r="AM121" i="2"/>
  <c r="AM110" i="2" s="1"/>
  <c r="AM90" i="2"/>
  <c r="AM106" i="2" s="1"/>
  <c r="AM81" i="2"/>
  <c r="AM60" i="2"/>
  <c r="AM49" i="2" s="1"/>
  <c r="AM29" i="2"/>
  <c r="AM20" i="2"/>
  <c r="TQ21" i="44"/>
  <c r="TQ23" i="44" s="1"/>
  <c r="TM21" i="44"/>
  <c r="TK21" i="44"/>
  <c r="TK23" i="44" s="1"/>
  <c r="TE6" i="44"/>
  <c r="AM169" i="2" l="1"/>
  <c r="AM482" i="2"/>
  <c r="AM504" i="2" s="1"/>
  <c r="AM476" i="2"/>
  <c r="AM498" i="2" s="1"/>
  <c r="AM473" i="2"/>
  <c r="AM495" i="2" s="1"/>
  <c r="AM470" i="2"/>
  <c r="AM492" i="2" s="1"/>
  <c r="AM479" i="2"/>
  <c r="AM501" i="2" s="1"/>
  <c r="M75" i="48"/>
  <c r="L75" i="48"/>
  <c r="AM108" i="2"/>
  <c r="AM291" i="2"/>
  <c r="TM23" i="44"/>
  <c r="TM25" i="44" s="1"/>
  <c r="TK25" i="44"/>
  <c r="AO70" i="2" s="1"/>
  <c r="AM228" i="2"/>
  <c r="AM230" i="2" s="1"/>
  <c r="TO25" i="44"/>
  <c r="TH21" i="44"/>
  <c r="TH23" i="44" s="1"/>
  <c r="TI21" i="44"/>
  <c r="TI23" i="44" s="1"/>
  <c r="AM43" i="2" s="1"/>
  <c r="TQ25" i="44"/>
  <c r="AM192" i="2" l="1"/>
  <c r="AM475" i="2"/>
  <c r="AM497" i="2" s="1"/>
  <c r="AM481" i="2"/>
  <c r="AM503" i="2" s="1"/>
  <c r="AM478" i="2"/>
  <c r="AM500" i="2" s="1"/>
  <c r="AM472" i="2"/>
  <c r="AM494" i="2" s="1"/>
  <c r="AM131" i="2"/>
  <c r="AM314" i="2"/>
  <c r="AM45" i="2"/>
  <c r="AM47" i="2" s="1"/>
  <c r="AM253" i="2"/>
  <c r="TH25" i="44"/>
  <c r="TI25" i="44"/>
  <c r="TJ18" i="44"/>
  <c r="AM469" i="2" l="1"/>
  <c r="AM491" i="2" s="1"/>
  <c r="AM70" i="2"/>
  <c r="TL18" i="44"/>
  <c r="TJ21" i="44"/>
  <c r="TJ23" i="44" s="1"/>
  <c r="TL21" i="44" l="1"/>
  <c r="TL23" i="44" s="1"/>
  <c r="TN18" i="44"/>
  <c r="TJ25" i="44"/>
  <c r="TN21" i="44" l="1"/>
  <c r="TN23" i="44" s="1"/>
  <c r="TP18" i="44"/>
  <c r="TL25" i="44"/>
  <c r="TN25" i="44" l="1"/>
  <c r="TR18" i="44"/>
  <c r="TP21" i="44"/>
  <c r="TP23" i="44" s="1"/>
  <c r="TR21" i="44" l="1"/>
  <c r="TR23" i="44" s="1"/>
  <c r="TP25" i="44"/>
  <c r="TR25" i="44" l="1"/>
  <c r="ON30" i="44" l="1"/>
  <c r="ON32" i="44" s="1"/>
  <c r="ON35" i="44" s="1"/>
  <c r="ON21" i="44" l="1"/>
  <c r="ON24" i="44" s="1"/>
  <c r="AE70" i="2" l="1"/>
  <c r="AJ273" i="2" l="1"/>
  <c r="AI273" i="2"/>
  <c r="AH273" i="2"/>
  <c r="AJ264" i="2"/>
  <c r="AI264" i="2"/>
  <c r="AH264" i="2"/>
  <c r="AJ212" i="2"/>
  <c r="AI212" i="2"/>
  <c r="AH212" i="2"/>
  <c r="AJ203" i="2"/>
  <c r="AI203" i="2"/>
  <c r="AH203" i="2"/>
  <c r="AJ151" i="2"/>
  <c r="AI151" i="2"/>
  <c r="AH151" i="2"/>
  <c r="AJ142" i="2"/>
  <c r="AI142" i="2"/>
  <c r="AH142" i="2"/>
  <c r="V47" i="51" l="1"/>
  <c r="V6" i="51" s="1"/>
  <c r="AA47" i="51"/>
  <c r="AA6" i="51" s="1"/>
  <c r="J46" i="51"/>
  <c r="K46" i="51" s="1"/>
  <c r="J41" i="51"/>
  <c r="K41" i="51" s="1"/>
  <c r="L41" i="51" s="1"/>
  <c r="O41" i="51" s="1"/>
  <c r="P41" i="51" s="1"/>
  <c r="J37" i="51"/>
  <c r="K37" i="51" s="1"/>
  <c r="L37" i="51" s="1"/>
  <c r="O37" i="51" s="1"/>
  <c r="P37" i="51" s="1"/>
  <c r="J36" i="51"/>
  <c r="K36" i="51" s="1"/>
  <c r="L36" i="51" s="1"/>
  <c r="J35" i="51"/>
  <c r="K35" i="51" s="1"/>
  <c r="J34" i="51"/>
  <c r="K34" i="51" s="1"/>
  <c r="J33" i="51"/>
  <c r="K33" i="51" s="1"/>
  <c r="J32" i="51"/>
  <c r="K32" i="51" s="1"/>
  <c r="J31" i="51"/>
  <c r="J30" i="51"/>
  <c r="K30" i="51" s="1"/>
  <c r="L30" i="51" s="1"/>
  <c r="O30" i="51" s="1"/>
  <c r="P30" i="51" s="1"/>
  <c r="J29" i="51"/>
  <c r="J28" i="51"/>
  <c r="K28" i="51" s="1"/>
  <c r="L28" i="51" s="1"/>
  <c r="O28" i="51" s="1"/>
  <c r="P28" i="51" s="1"/>
  <c r="J26" i="51"/>
  <c r="K26" i="51" s="1"/>
  <c r="J25" i="51"/>
  <c r="K25" i="51" s="1"/>
  <c r="L25" i="51" s="1"/>
  <c r="O25" i="51" s="1"/>
  <c r="P25" i="51" s="1"/>
  <c r="J24" i="51"/>
  <c r="K24" i="51" s="1"/>
  <c r="J23" i="51"/>
  <c r="J22" i="51"/>
  <c r="K22" i="51" s="1"/>
  <c r="J21" i="51"/>
  <c r="K21" i="51" s="1"/>
  <c r="J20" i="51"/>
  <c r="J19" i="51"/>
  <c r="K19" i="51" s="1"/>
  <c r="J18" i="51"/>
  <c r="K18" i="51" s="1"/>
  <c r="J17" i="51"/>
  <c r="J16" i="51"/>
  <c r="K16" i="51" s="1"/>
  <c r="J15" i="51"/>
  <c r="J14" i="51"/>
  <c r="K14" i="51" s="1"/>
  <c r="J13" i="51"/>
  <c r="J12" i="51"/>
  <c r="AJ491" i="2"/>
  <c r="AJ492" i="2"/>
  <c r="AJ493" i="2"/>
  <c r="AJ484" i="2"/>
  <c r="AJ506" i="2" s="1"/>
  <c r="AJ485" i="2"/>
  <c r="AJ507" i="2" s="1"/>
  <c r="AJ486" i="2"/>
  <c r="AJ508" i="2" s="1"/>
  <c r="AJ487" i="2"/>
  <c r="AJ509" i="2" s="1"/>
  <c r="AJ488" i="2"/>
  <c r="AJ510" i="2" s="1"/>
  <c r="AJ489" i="2"/>
  <c r="AJ511" i="2" s="1"/>
  <c r="RT6" i="44"/>
  <c r="RB6" i="44"/>
  <c r="QJ6" i="44"/>
  <c r="OY6" i="44"/>
  <c r="OG6" i="44"/>
  <c r="NO6" i="44"/>
  <c r="MW6" i="44"/>
  <c r="ME6" i="44"/>
  <c r="ME5" i="44"/>
  <c r="LM6" i="44"/>
  <c r="KU6" i="44"/>
  <c r="KC6" i="44"/>
  <c r="JK6" i="44"/>
  <c r="IS6" i="44"/>
  <c r="IA6" i="44"/>
  <c r="HI6" i="44"/>
  <c r="GQ6" i="44"/>
  <c r="FY6" i="44"/>
  <c r="FG6" i="44"/>
  <c r="EO6" i="44"/>
  <c r="DW6" i="44"/>
  <c r="DE6" i="44"/>
  <c r="CM6" i="44"/>
  <c r="A6" i="44"/>
  <c r="BU6" i="44"/>
  <c r="BC6" i="44"/>
  <c r="AK6" i="44"/>
  <c r="S6" i="44"/>
  <c r="AJ70" i="2"/>
  <c r="AN10" i="2"/>
  <c r="AM10" i="2"/>
  <c r="AR11" i="2"/>
  <c r="AQ11" i="2"/>
  <c r="AP11" i="2"/>
  <c r="AN11" i="2"/>
  <c r="AM11" i="2"/>
  <c r="AJ11" i="2"/>
  <c r="AL10" i="2"/>
  <c r="UQ28" i="44"/>
  <c r="UQ27" i="44"/>
  <c r="UQ26" i="44"/>
  <c r="UQ25" i="44"/>
  <c r="UZ24" i="44"/>
  <c r="UY24" i="44"/>
  <c r="UX24" i="44"/>
  <c r="UX26" i="44" s="1"/>
  <c r="UW24" i="44"/>
  <c r="UV24" i="44"/>
  <c r="UV26" i="44" s="1"/>
  <c r="AL41" i="2"/>
  <c r="UT27" i="44"/>
  <c r="UQ24" i="44"/>
  <c r="UQ23" i="44"/>
  <c r="UQ22" i="44"/>
  <c r="UQ21" i="44"/>
  <c r="UQ20" i="44"/>
  <c r="UQ19" i="44"/>
  <c r="UQ18" i="44"/>
  <c r="UQ17" i="44"/>
  <c r="UQ16" i="44"/>
  <c r="UQ15" i="44"/>
  <c r="UQ6" i="44"/>
  <c r="CM7" i="45"/>
  <c r="TX33" i="44"/>
  <c r="TX34" i="44"/>
  <c r="TX35" i="44"/>
  <c r="TX36" i="44"/>
  <c r="TX37" i="44"/>
  <c r="TX38" i="44"/>
  <c r="AK7" i="45"/>
  <c r="AX4" i="45" s="1"/>
  <c r="S7" i="45"/>
  <c r="AF4" i="45" s="1"/>
  <c r="A7" i="45"/>
  <c r="N4" i="45" s="1"/>
  <c r="AZ272" i="2"/>
  <c r="AY272" i="2"/>
  <c r="AX272" i="2"/>
  <c r="AW272" i="2"/>
  <c r="AV272" i="2"/>
  <c r="AU272" i="2"/>
  <c r="AT272" i="2"/>
  <c r="AZ271" i="2"/>
  <c r="AY271" i="2"/>
  <c r="AX271" i="2"/>
  <c r="AW271" i="2"/>
  <c r="AV271" i="2"/>
  <c r="AU271" i="2"/>
  <c r="AT271" i="2"/>
  <c r="AZ270" i="2"/>
  <c r="AY270" i="2"/>
  <c r="AX270" i="2"/>
  <c r="AW270" i="2"/>
  <c r="AV270" i="2"/>
  <c r="AU270" i="2"/>
  <c r="AT270" i="2"/>
  <c r="AZ269" i="2"/>
  <c r="AY269" i="2"/>
  <c r="AX269" i="2"/>
  <c r="AW269" i="2"/>
  <c r="AV269" i="2"/>
  <c r="AU269" i="2"/>
  <c r="AT269" i="2"/>
  <c r="AZ268" i="2"/>
  <c r="AY268" i="2"/>
  <c r="AX268" i="2"/>
  <c r="AW268" i="2"/>
  <c r="AV268" i="2"/>
  <c r="AU268" i="2"/>
  <c r="AT268" i="2"/>
  <c r="BU7" i="45"/>
  <c r="BU6" i="45"/>
  <c r="BC7" i="45"/>
  <c r="TX6" i="44"/>
  <c r="E53" i="52"/>
  <c r="I53" i="52" s="1"/>
  <c r="J53" i="52" s="1"/>
  <c r="R51" i="52"/>
  <c r="H51" i="52"/>
  <c r="H6" i="52" s="1"/>
  <c r="H4" i="52" s="1"/>
  <c r="F51" i="52"/>
  <c r="F6" i="52" s="1"/>
  <c r="F1" i="52" s="1"/>
  <c r="AD50" i="52"/>
  <c r="Y50" i="52"/>
  <c r="S50" i="52"/>
  <c r="N50" i="52"/>
  <c r="I50" i="52"/>
  <c r="J50" i="52" s="1"/>
  <c r="AD49" i="52"/>
  <c r="Y49" i="52"/>
  <c r="S49" i="52"/>
  <c r="N49" i="52"/>
  <c r="I49" i="52"/>
  <c r="J49" i="52" s="1"/>
  <c r="AD48" i="52"/>
  <c r="Y48" i="52"/>
  <c r="S48" i="52"/>
  <c r="N48" i="52"/>
  <c r="I48" i="52"/>
  <c r="J48" i="52" s="1"/>
  <c r="AD47" i="52"/>
  <c r="Y47" i="52"/>
  <c r="S47" i="52"/>
  <c r="N47" i="52"/>
  <c r="I47" i="52"/>
  <c r="J47" i="52" s="1"/>
  <c r="AD46" i="52"/>
  <c r="Y46" i="52"/>
  <c r="S46" i="52"/>
  <c r="N46" i="52"/>
  <c r="I46" i="52"/>
  <c r="J46" i="52" s="1"/>
  <c r="AD45" i="52"/>
  <c r="Y45" i="52"/>
  <c r="S45" i="52"/>
  <c r="N45" i="52"/>
  <c r="I45" i="52"/>
  <c r="J45" i="52" s="1"/>
  <c r="AD44" i="52"/>
  <c r="Y44" i="52"/>
  <c r="S44" i="52"/>
  <c r="N44" i="52"/>
  <c r="I44" i="52"/>
  <c r="J44" i="52" s="1"/>
  <c r="AD43" i="52"/>
  <c r="Y43" i="52"/>
  <c r="S43" i="52"/>
  <c r="N43" i="52"/>
  <c r="I43" i="52"/>
  <c r="J43" i="52" s="1"/>
  <c r="AD42" i="52"/>
  <c r="Y42" i="52"/>
  <c r="S42" i="52"/>
  <c r="N42" i="52"/>
  <c r="I42" i="52"/>
  <c r="J42" i="52" s="1"/>
  <c r="AD41" i="52"/>
  <c r="Y41" i="52"/>
  <c r="S41" i="52"/>
  <c r="N41" i="52"/>
  <c r="I41" i="52"/>
  <c r="J41" i="52" s="1"/>
  <c r="AD40" i="52"/>
  <c r="Y40" i="52"/>
  <c r="S40" i="52"/>
  <c r="N40" i="52"/>
  <c r="I40" i="52"/>
  <c r="J40" i="52" s="1"/>
  <c r="AD39" i="52"/>
  <c r="Y39" i="52"/>
  <c r="S39" i="52"/>
  <c r="N39" i="52"/>
  <c r="I39" i="52"/>
  <c r="J39" i="52" s="1"/>
  <c r="AD38" i="52"/>
  <c r="Y38" i="52"/>
  <c r="S38" i="52"/>
  <c r="N38" i="52"/>
  <c r="I38" i="52"/>
  <c r="J38" i="52" s="1"/>
  <c r="AD37" i="52"/>
  <c r="Y37" i="52"/>
  <c r="S37" i="52"/>
  <c r="N37" i="52"/>
  <c r="I37" i="52"/>
  <c r="J37" i="52" s="1"/>
  <c r="AD36" i="52"/>
  <c r="Y36" i="52"/>
  <c r="S36" i="52"/>
  <c r="N36" i="52"/>
  <c r="Y35" i="52"/>
  <c r="S35" i="52"/>
  <c r="N35" i="52"/>
  <c r="I35" i="52"/>
  <c r="J35" i="52" s="1"/>
  <c r="AD34" i="52"/>
  <c r="Y34" i="52"/>
  <c r="S34" i="52"/>
  <c r="N34" i="52"/>
  <c r="I34" i="52"/>
  <c r="J34" i="52" s="1"/>
  <c r="O34" i="52" s="1"/>
  <c r="T34" i="52" s="1"/>
  <c r="AD33" i="52"/>
  <c r="Y33" i="52"/>
  <c r="S33" i="52"/>
  <c r="J33" i="52"/>
  <c r="M33" i="52" s="1"/>
  <c r="N33" i="52" s="1"/>
  <c r="AD32" i="52"/>
  <c r="Y32" i="52"/>
  <c r="S32" i="52"/>
  <c r="N32" i="52"/>
  <c r="E32" i="52"/>
  <c r="I32" i="52" s="1"/>
  <c r="J32" i="52" s="1"/>
  <c r="I31" i="52"/>
  <c r="J31" i="52" s="1"/>
  <c r="Y30" i="52"/>
  <c r="S30" i="52"/>
  <c r="E30" i="52"/>
  <c r="I30" i="52" s="1"/>
  <c r="J30" i="52" s="1"/>
  <c r="AD27" i="52"/>
  <c r="S27" i="52"/>
  <c r="N27" i="52"/>
  <c r="E27" i="52"/>
  <c r="I25" i="52"/>
  <c r="J25" i="52" s="1"/>
  <c r="I24" i="52"/>
  <c r="J24" i="52" s="1"/>
  <c r="I23" i="52"/>
  <c r="J23" i="52" s="1"/>
  <c r="I22" i="52"/>
  <c r="J22" i="52" s="1"/>
  <c r="I21" i="52"/>
  <c r="J21" i="52" s="1"/>
  <c r="I20" i="52"/>
  <c r="J20" i="52" s="1"/>
  <c r="I19" i="52"/>
  <c r="J19" i="52" s="1"/>
  <c r="AD16" i="52"/>
  <c r="Y16" i="52"/>
  <c r="I16" i="52"/>
  <c r="J16" i="52" s="1"/>
  <c r="AD15" i="52"/>
  <c r="Y15" i="52"/>
  <c r="I15" i="52"/>
  <c r="J15" i="52" s="1"/>
  <c r="I14" i="52"/>
  <c r="J14" i="52" s="1"/>
  <c r="I13" i="52"/>
  <c r="J13" i="52" s="1"/>
  <c r="S12" i="52"/>
  <c r="N12" i="52"/>
  <c r="I12" i="52"/>
  <c r="J12" i="52" s="1"/>
  <c r="S11" i="52"/>
  <c r="N11" i="52"/>
  <c r="I11" i="52"/>
  <c r="R6" i="52"/>
  <c r="R1" i="52" s="1"/>
  <c r="R4" i="52"/>
  <c r="R2" i="52"/>
  <c r="AC47" i="51"/>
  <c r="AC6" i="51" s="1"/>
  <c r="X47" i="51"/>
  <c r="S47" i="51"/>
  <c r="S6" i="51" s="1"/>
  <c r="Q47" i="51"/>
  <c r="N47" i="51"/>
  <c r="N6" i="51" s="1"/>
  <c r="I47" i="51"/>
  <c r="I6" i="51" s="1"/>
  <c r="I4" i="51" s="1"/>
  <c r="D47" i="51"/>
  <c r="D6" i="51" s="1"/>
  <c r="AD46" i="51"/>
  <c r="Y46" i="51"/>
  <c r="T46" i="51"/>
  <c r="O46" i="51"/>
  <c r="AD45" i="51"/>
  <c r="Y45" i="51"/>
  <c r="T45" i="51"/>
  <c r="O45" i="51"/>
  <c r="AD44" i="51"/>
  <c r="Y44" i="51"/>
  <c r="T44" i="51"/>
  <c r="O44" i="51"/>
  <c r="F44" i="51"/>
  <c r="AD43" i="51"/>
  <c r="Y43" i="51"/>
  <c r="T43" i="51"/>
  <c r="O43" i="51"/>
  <c r="H47" i="51"/>
  <c r="H6" i="51" s="1"/>
  <c r="AD42" i="51"/>
  <c r="Y42" i="51"/>
  <c r="T42" i="51"/>
  <c r="O42" i="51"/>
  <c r="F42" i="51"/>
  <c r="J42" i="51" s="1"/>
  <c r="K42" i="51" s="1"/>
  <c r="AD41" i="51"/>
  <c r="Y41" i="51"/>
  <c r="T41" i="51"/>
  <c r="AD40" i="51"/>
  <c r="T40" i="51"/>
  <c r="O40" i="51"/>
  <c r="G40" i="51"/>
  <c r="G39" i="54" s="1"/>
  <c r="AD39" i="51"/>
  <c r="Y39" i="51"/>
  <c r="T39" i="51"/>
  <c r="O39" i="51"/>
  <c r="F39" i="51"/>
  <c r="J39" i="51" s="1"/>
  <c r="K39" i="51" s="1"/>
  <c r="AD38" i="51"/>
  <c r="Y38" i="51"/>
  <c r="T38" i="51"/>
  <c r="O38" i="51"/>
  <c r="F38" i="51"/>
  <c r="AD37" i="51"/>
  <c r="Y37" i="51"/>
  <c r="T37" i="51"/>
  <c r="AD36" i="51"/>
  <c r="Y36" i="51"/>
  <c r="T36" i="51"/>
  <c r="AD35" i="51"/>
  <c r="Y35" i="51"/>
  <c r="T35" i="51"/>
  <c r="O35" i="51"/>
  <c r="AD34" i="51"/>
  <c r="Y34" i="51"/>
  <c r="T34" i="51"/>
  <c r="O34" i="51"/>
  <c r="AD31" i="51"/>
  <c r="Y31" i="51"/>
  <c r="T31" i="51"/>
  <c r="K31" i="51"/>
  <c r="L31" i="51" s="1"/>
  <c r="O31" i="51" s="1"/>
  <c r="P31" i="51" s="1"/>
  <c r="AD30" i="51"/>
  <c r="Y30" i="51"/>
  <c r="T30" i="51"/>
  <c r="AD29" i="51"/>
  <c r="Y29" i="51"/>
  <c r="T29" i="51"/>
  <c r="K29" i="51"/>
  <c r="L29" i="51" s="1"/>
  <c r="O29" i="51" s="1"/>
  <c r="P29" i="51" s="1"/>
  <c r="AD28" i="51"/>
  <c r="Y28" i="51"/>
  <c r="T28" i="51"/>
  <c r="AD27" i="51"/>
  <c r="Y27" i="51"/>
  <c r="T27" i="51"/>
  <c r="O27" i="51"/>
  <c r="F27" i="51"/>
  <c r="E12" i="54" s="1"/>
  <c r="AD26" i="51"/>
  <c r="Y26" i="51"/>
  <c r="T26" i="51"/>
  <c r="O26" i="51"/>
  <c r="AD25" i="51"/>
  <c r="Y25" i="51"/>
  <c r="T25" i="51"/>
  <c r="AD24" i="51"/>
  <c r="Y24" i="51"/>
  <c r="T24" i="51"/>
  <c r="O24" i="51"/>
  <c r="P24" i="51" s="1"/>
  <c r="AD23" i="51"/>
  <c r="Y23" i="51"/>
  <c r="T23" i="51"/>
  <c r="K23" i="51"/>
  <c r="L23" i="51" s="1"/>
  <c r="AD22" i="51"/>
  <c r="Y22" i="51"/>
  <c r="T22" i="51"/>
  <c r="O22" i="51"/>
  <c r="AD21" i="51"/>
  <c r="Y21" i="51"/>
  <c r="T21" i="51"/>
  <c r="O21" i="51"/>
  <c r="AD20" i="51"/>
  <c r="Y20" i="51"/>
  <c r="T20" i="51"/>
  <c r="O20" i="51"/>
  <c r="K20" i="51"/>
  <c r="AD19" i="51"/>
  <c r="Y19" i="51"/>
  <c r="T19" i="51"/>
  <c r="O19" i="51"/>
  <c r="AD18" i="51"/>
  <c r="Y18" i="51"/>
  <c r="T18" i="51"/>
  <c r="O18" i="51"/>
  <c r="AD17" i="51"/>
  <c r="Y17" i="51"/>
  <c r="T17" i="51"/>
  <c r="O17" i="51"/>
  <c r="K17" i="51"/>
  <c r="AD16" i="51"/>
  <c r="Y16" i="51"/>
  <c r="T16" i="51"/>
  <c r="O16" i="51"/>
  <c r="P16" i="51" s="1"/>
  <c r="U16" i="51" s="1"/>
  <c r="AD15" i="51"/>
  <c r="Y15" i="51"/>
  <c r="T15" i="51"/>
  <c r="O15" i="51"/>
  <c r="P15" i="51" s="1"/>
  <c r="U15" i="51" s="1"/>
  <c r="K15" i="51"/>
  <c r="AD14" i="51"/>
  <c r="Y14" i="51"/>
  <c r="T14" i="51"/>
  <c r="O14" i="51"/>
  <c r="P14" i="51" s="1"/>
  <c r="AD13" i="51"/>
  <c r="Y13" i="51"/>
  <c r="T13" i="51"/>
  <c r="O13" i="51"/>
  <c r="AD12" i="51"/>
  <c r="Y12" i="51"/>
  <c r="T12" i="51"/>
  <c r="O12" i="51"/>
  <c r="K12" i="51"/>
  <c r="AD11" i="51"/>
  <c r="Y11" i="51"/>
  <c r="T11" i="51"/>
  <c r="O11" i="51"/>
  <c r="X6" i="51"/>
  <c r="X4" i="51" s="1"/>
  <c r="Q6" i="51"/>
  <c r="Q4" i="51" s="1"/>
  <c r="F13" i="17"/>
  <c r="C22" i="14"/>
  <c r="C36" i="14" s="1"/>
  <c r="C46" i="14" s="1"/>
  <c r="C77" i="14" s="1"/>
  <c r="D22" i="14"/>
  <c r="D36" i="14" s="1"/>
  <c r="D46" i="14" s="1"/>
  <c r="D77" i="14" s="1"/>
  <c r="E22" i="14"/>
  <c r="E36" i="14" s="1"/>
  <c r="E46" i="14" s="1"/>
  <c r="E77" i="14" s="1"/>
  <c r="F22" i="14"/>
  <c r="F36" i="14" s="1"/>
  <c r="F46" i="14" s="1"/>
  <c r="F77" i="14" s="1"/>
  <c r="B22" i="14"/>
  <c r="B36" i="14" s="1"/>
  <c r="B46" i="14" s="1"/>
  <c r="B77" i="14" s="1"/>
  <c r="AA22" i="52"/>
  <c r="AD22" i="52" s="1"/>
  <c r="AA21" i="52"/>
  <c r="AD21" i="52" s="1"/>
  <c r="AA20" i="52"/>
  <c r="AD20" i="52" s="1"/>
  <c r="AA19" i="52"/>
  <c r="AA14" i="52"/>
  <c r="AD14" i="52" s="1"/>
  <c r="AA13" i="52"/>
  <c r="AD13" i="52" s="1"/>
  <c r="AA24" i="52"/>
  <c r="AD24" i="52" s="1"/>
  <c r="AA31" i="52"/>
  <c r="AD31" i="52" s="1"/>
  <c r="AB32" i="51"/>
  <c r="AA23" i="52"/>
  <c r="AD23" i="52" s="1"/>
  <c r="U21" i="52"/>
  <c r="Y21" i="52" s="1"/>
  <c r="U20" i="52"/>
  <c r="Y20" i="52" s="1"/>
  <c r="U19" i="52"/>
  <c r="Y19" i="52" s="1"/>
  <c r="U14" i="52"/>
  <c r="Y14" i="52" s="1"/>
  <c r="U13" i="52"/>
  <c r="Y33" i="51"/>
  <c r="U24" i="52"/>
  <c r="Y24" i="52" s="1"/>
  <c r="U31" i="52"/>
  <c r="Y31" i="52" s="1"/>
  <c r="U23" i="52"/>
  <c r="Y23" i="52" s="1"/>
  <c r="P22" i="52"/>
  <c r="S22" i="52" s="1"/>
  <c r="P21" i="52"/>
  <c r="S21" i="52" s="1"/>
  <c r="P20" i="52"/>
  <c r="S20" i="52" s="1"/>
  <c r="P19" i="52"/>
  <c r="S19" i="52" s="1"/>
  <c r="P14" i="52"/>
  <c r="S14" i="52" s="1"/>
  <c r="P13" i="52"/>
  <c r="R33" i="51"/>
  <c r="P24" i="52"/>
  <c r="S24" i="52" s="1"/>
  <c r="P23" i="52"/>
  <c r="S23" i="52" s="1"/>
  <c r="K22" i="52"/>
  <c r="N22" i="52" s="1"/>
  <c r="K21" i="52"/>
  <c r="N21" i="52" s="1"/>
  <c r="K20" i="52"/>
  <c r="N20" i="52" s="1"/>
  <c r="K19" i="52"/>
  <c r="N19" i="52" s="1"/>
  <c r="K14" i="52"/>
  <c r="N14" i="52" s="1"/>
  <c r="K13" i="52"/>
  <c r="K24" i="52"/>
  <c r="N24" i="52" s="1"/>
  <c r="K31" i="52"/>
  <c r="N31" i="52" s="1"/>
  <c r="M32" i="51"/>
  <c r="K23" i="52"/>
  <c r="N23" i="52" s="1"/>
  <c r="BU47" i="45"/>
  <c r="BU46" i="45"/>
  <c r="BU45" i="45"/>
  <c r="BU44" i="45"/>
  <c r="BU43" i="45"/>
  <c r="BU42" i="45"/>
  <c r="BU41" i="45"/>
  <c r="BU40" i="45"/>
  <c r="BU39" i="45"/>
  <c r="BU38" i="45"/>
  <c r="BU37" i="45"/>
  <c r="BU36" i="45"/>
  <c r="BU35" i="45"/>
  <c r="BU34" i="45"/>
  <c r="BU33" i="45"/>
  <c r="BU32" i="45"/>
  <c r="BU31" i="45"/>
  <c r="BU30" i="45"/>
  <c r="BU29" i="45"/>
  <c r="BU28" i="45"/>
  <c r="BU27" i="45"/>
  <c r="BU26" i="45"/>
  <c r="BU25" i="45"/>
  <c r="BU24" i="45"/>
  <c r="BU23" i="45"/>
  <c r="BU22" i="45"/>
  <c r="BU21" i="45"/>
  <c r="BU20" i="45"/>
  <c r="BU19" i="45"/>
  <c r="BU18" i="45"/>
  <c r="AD10" i="2"/>
  <c r="AR10" i="2"/>
  <c r="AQ10" i="2"/>
  <c r="AP10" i="2"/>
  <c r="AK10" i="2"/>
  <c r="AJ10" i="2"/>
  <c r="AI10" i="2"/>
  <c r="AH10" i="2"/>
  <c r="AG10" i="2"/>
  <c r="AF10" i="2"/>
  <c r="AE10" i="2"/>
  <c r="AC10" i="2"/>
  <c r="AB10" i="2"/>
  <c r="AA10" i="2"/>
  <c r="Z10" i="2"/>
  <c r="Y10" i="2"/>
  <c r="X10" i="2"/>
  <c r="W10" i="2"/>
  <c r="V10" i="2"/>
  <c r="U10" i="2"/>
  <c r="T10" i="2"/>
  <c r="S10" i="2"/>
  <c r="R10" i="2"/>
  <c r="Q10" i="2"/>
  <c r="P10" i="2"/>
  <c r="O10" i="2"/>
  <c r="N10" i="2"/>
  <c r="M10" i="2"/>
  <c r="L10" i="2"/>
  <c r="K10" i="2"/>
  <c r="J10" i="2"/>
  <c r="I10" i="2"/>
  <c r="H10" i="2"/>
  <c r="G10" i="2"/>
  <c r="F10" i="2"/>
  <c r="E10" i="2"/>
  <c r="PG48" i="44"/>
  <c r="PE48" i="44"/>
  <c r="AB80" i="2"/>
  <c r="AB81" i="2" s="1"/>
  <c r="AK26" i="2"/>
  <c r="UB18" i="44"/>
  <c r="TX32" i="44"/>
  <c r="TZ37" i="44"/>
  <c r="J18" i="6"/>
  <c r="I18" i="6"/>
  <c r="A24" i="44"/>
  <c r="A25" i="44"/>
  <c r="A26" i="44"/>
  <c r="AL20" i="2"/>
  <c r="AL29" i="2"/>
  <c r="AK81" i="2"/>
  <c r="AL81" i="2"/>
  <c r="AK90" i="2"/>
  <c r="AK106" i="2" s="1"/>
  <c r="AL90" i="2"/>
  <c r="AK121" i="2"/>
  <c r="AK110" i="2" s="1"/>
  <c r="AK142" i="2"/>
  <c r="AL142" i="2"/>
  <c r="AK151" i="2"/>
  <c r="AK167" i="2" s="1"/>
  <c r="AL151" i="2"/>
  <c r="AK182" i="2"/>
  <c r="AK171" i="2" s="1"/>
  <c r="AK203" i="2"/>
  <c r="AL203" i="2"/>
  <c r="AK212" i="2"/>
  <c r="AK228" i="2" s="1"/>
  <c r="AL212" i="2"/>
  <c r="AK243" i="2"/>
  <c r="AK232" i="2" s="1"/>
  <c r="AK264" i="2"/>
  <c r="AL264" i="2"/>
  <c r="AK273" i="2"/>
  <c r="AK289" i="2" s="1"/>
  <c r="AL273" i="2"/>
  <c r="AK304" i="2"/>
  <c r="AK293" i="2" s="1"/>
  <c r="AL489" i="2"/>
  <c r="AL511" i="2" s="1"/>
  <c r="AL488" i="2"/>
  <c r="AL510" i="2" s="1"/>
  <c r="AL487" i="2"/>
  <c r="AL509" i="2" s="1"/>
  <c r="AL486" i="2"/>
  <c r="AL508" i="2" s="1"/>
  <c r="AL485" i="2"/>
  <c r="AL507" i="2" s="1"/>
  <c r="AL484" i="2"/>
  <c r="AL506" i="2" s="1"/>
  <c r="AK489" i="2"/>
  <c r="AK511" i="2" s="1"/>
  <c r="AK488" i="2"/>
  <c r="AK510" i="2" s="1"/>
  <c r="AK487" i="2"/>
  <c r="AK509" i="2" s="1"/>
  <c r="AK486" i="2"/>
  <c r="AK508" i="2" s="1"/>
  <c r="AK485" i="2"/>
  <c r="AK507" i="2" s="1"/>
  <c r="AK484" i="2"/>
  <c r="AK506" i="2" s="1"/>
  <c r="AK492" i="2"/>
  <c r="AK11" i="2"/>
  <c r="AL11" i="2"/>
  <c r="AI11" i="2"/>
  <c r="TX31" i="44"/>
  <c r="TX30" i="44"/>
  <c r="TX29" i="44"/>
  <c r="TX28" i="44"/>
  <c r="TX27" i="44"/>
  <c r="TX26" i="44"/>
  <c r="TX25" i="44"/>
  <c r="TX24" i="44"/>
  <c r="TX23" i="44"/>
  <c r="TX22" i="44"/>
  <c r="TX21" i="44"/>
  <c r="TX20" i="44"/>
  <c r="TX19" i="44"/>
  <c r="TX18" i="44"/>
  <c r="TX17" i="44"/>
  <c r="TX16" i="44"/>
  <c r="TX15" i="44"/>
  <c r="TE31" i="44"/>
  <c r="TE30" i="44"/>
  <c r="TE29" i="44"/>
  <c r="TE28" i="44"/>
  <c r="TE27" i="44"/>
  <c r="TE26" i="44"/>
  <c r="TE25" i="44"/>
  <c r="TE24" i="44"/>
  <c r="TE23" i="44"/>
  <c r="TE22" i="44"/>
  <c r="TE21" i="44"/>
  <c r="TE20" i="44"/>
  <c r="TE19" i="44"/>
  <c r="TE18" i="44"/>
  <c r="TE17" i="44"/>
  <c r="TE16" i="44"/>
  <c r="TE15" i="44"/>
  <c r="TE41" i="44"/>
  <c r="TE40" i="44"/>
  <c r="TE39" i="44"/>
  <c r="TE38" i="44"/>
  <c r="TE37" i="44"/>
  <c r="TE36" i="44"/>
  <c r="TE35" i="44"/>
  <c r="TE34" i="44"/>
  <c r="TE33" i="44"/>
  <c r="TE32" i="44"/>
  <c r="UQ8" i="44"/>
  <c r="UQ7" i="44"/>
  <c r="UQ5" i="44"/>
  <c r="TX8" i="44"/>
  <c r="TX7" i="44"/>
  <c r="TX5" i="44"/>
  <c r="OC24" i="44"/>
  <c r="OC26" i="44" s="1"/>
  <c r="BB397" i="2"/>
  <c r="AZ375" i="2"/>
  <c r="AY375" i="2"/>
  <c r="AX375" i="2"/>
  <c r="AW375" i="2"/>
  <c r="AV375" i="2"/>
  <c r="AU375" i="2"/>
  <c r="AT375" i="2"/>
  <c r="BB336" i="2"/>
  <c r="BC336" i="2" s="1"/>
  <c r="D397" i="2" s="1"/>
  <c r="AD421" i="2"/>
  <c r="BB421" i="2" s="1"/>
  <c r="AD420" i="2"/>
  <c r="BB420" i="2" s="1"/>
  <c r="AD299" i="2"/>
  <c r="AD238" i="2"/>
  <c r="AD237" i="2"/>
  <c r="AD176" i="2"/>
  <c r="AD115" i="2"/>
  <c r="AD60" i="2"/>
  <c r="AD49" i="2" s="1"/>
  <c r="AD45" i="2"/>
  <c r="AC45" i="2"/>
  <c r="AD29" i="2"/>
  <c r="AD11" i="2"/>
  <c r="AC11" i="2"/>
  <c r="AD488" i="2"/>
  <c r="AD510" i="2" s="1"/>
  <c r="AD485" i="2"/>
  <c r="AD507" i="2" s="1"/>
  <c r="AD395" i="2"/>
  <c r="AD411" i="2" s="1"/>
  <c r="AD386" i="2"/>
  <c r="AD334" i="2"/>
  <c r="AD350" i="2" s="1"/>
  <c r="AD325" i="2"/>
  <c r="AD273" i="2"/>
  <c r="AD289" i="2" s="1"/>
  <c r="AD264" i="2"/>
  <c r="AD212" i="2"/>
  <c r="AD228" i="2" s="1"/>
  <c r="AD203" i="2"/>
  <c r="AD151" i="2"/>
  <c r="AD167" i="2" s="1"/>
  <c r="AD142" i="2"/>
  <c r="AD90" i="2"/>
  <c r="AD106" i="2" s="1"/>
  <c r="AD81" i="2"/>
  <c r="AD20" i="2"/>
  <c r="QZ19" i="44"/>
  <c r="AD436" i="2" s="1"/>
  <c r="AD365" i="2"/>
  <c r="KG17" i="44"/>
  <c r="U37" i="2" s="1"/>
  <c r="HL18" i="44"/>
  <c r="LL28" i="44"/>
  <c r="LL25" i="44"/>
  <c r="LL24" i="44"/>
  <c r="LL23" i="44"/>
  <c r="LL22" i="44"/>
  <c r="LL21" i="44"/>
  <c r="LL20" i="44"/>
  <c r="LL19" i="44"/>
  <c r="LL18" i="44"/>
  <c r="HF28" i="44"/>
  <c r="NM18" i="44"/>
  <c r="NM20" i="44" s="1"/>
  <c r="NN20" i="44" s="1"/>
  <c r="NK18" i="44"/>
  <c r="NK20" i="44" s="1"/>
  <c r="NI18" i="44"/>
  <c r="NI20" i="44" s="1"/>
  <c r="NG18" i="44"/>
  <c r="NG20" i="44" s="1"/>
  <c r="NE18" i="44"/>
  <c r="NE20" i="44" s="1"/>
  <c r="NC18" i="44"/>
  <c r="NC20" i="44" s="1"/>
  <c r="NA18" i="44"/>
  <c r="NA20" i="44" s="1"/>
  <c r="Y37" i="2" s="1"/>
  <c r="MZ18" i="44"/>
  <c r="MZ20" i="44" s="1"/>
  <c r="MC22" i="44"/>
  <c r="MA22" i="44"/>
  <c r="NL18" i="44"/>
  <c r="NN17" i="44"/>
  <c r="NN18" i="44" s="1"/>
  <c r="AT491" i="2"/>
  <c r="AU491" i="2"/>
  <c r="AV491" i="2"/>
  <c r="AW491" i="2"/>
  <c r="AX491" i="2"/>
  <c r="AY491" i="2"/>
  <c r="AZ491" i="2"/>
  <c r="AT492" i="2"/>
  <c r="AU492" i="2"/>
  <c r="AV492" i="2"/>
  <c r="AW492" i="2"/>
  <c r="AX492" i="2"/>
  <c r="AY492" i="2"/>
  <c r="AZ492" i="2"/>
  <c r="AT493" i="2"/>
  <c r="AU493" i="2"/>
  <c r="AV493" i="2"/>
  <c r="AW493" i="2"/>
  <c r="AX493" i="2"/>
  <c r="AY493" i="2"/>
  <c r="AZ493" i="2"/>
  <c r="AT494" i="2"/>
  <c r="AU494" i="2"/>
  <c r="AV494" i="2"/>
  <c r="AW494" i="2"/>
  <c r="AX494" i="2"/>
  <c r="AY494" i="2"/>
  <c r="AZ494" i="2"/>
  <c r="AT495" i="2"/>
  <c r="AU495" i="2"/>
  <c r="AV495" i="2"/>
  <c r="AW495" i="2"/>
  <c r="AX495" i="2"/>
  <c r="AY495" i="2"/>
  <c r="AZ495" i="2"/>
  <c r="AT496" i="2"/>
  <c r="AU496" i="2"/>
  <c r="AV496" i="2"/>
  <c r="AW496" i="2"/>
  <c r="AX496" i="2"/>
  <c r="AY496" i="2"/>
  <c r="AZ496" i="2"/>
  <c r="AT497" i="2"/>
  <c r="AU497" i="2"/>
  <c r="AV497" i="2"/>
  <c r="AW497" i="2"/>
  <c r="AX497" i="2"/>
  <c r="AY497" i="2"/>
  <c r="AZ497" i="2"/>
  <c r="AT498" i="2"/>
  <c r="AU498" i="2"/>
  <c r="AV498" i="2"/>
  <c r="AW498" i="2"/>
  <c r="AX498" i="2"/>
  <c r="AY498" i="2"/>
  <c r="AZ498" i="2"/>
  <c r="AT499" i="2"/>
  <c r="AU499" i="2"/>
  <c r="AV499" i="2"/>
  <c r="AW499" i="2"/>
  <c r="AX499" i="2"/>
  <c r="AY499" i="2"/>
  <c r="AZ499" i="2"/>
  <c r="AT500" i="2"/>
  <c r="AU500" i="2"/>
  <c r="AV500" i="2"/>
  <c r="AW500" i="2"/>
  <c r="AX500" i="2"/>
  <c r="AY500" i="2"/>
  <c r="AZ500" i="2"/>
  <c r="AT501" i="2"/>
  <c r="AU501" i="2"/>
  <c r="AV501" i="2"/>
  <c r="AW501" i="2"/>
  <c r="AX501" i="2"/>
  <c r="AY501" i="2"/>
  <c r="AZ501" i="2"/>
  <c r="AT502" i="2"/>
  <c r="AU502" i="2"/>
  <c r="AV502" i="2"/>
  <c r="AW502" i="2"/>
  <c r="AX502" i="2"/>
  <c r="AY502" i="2"/>
  <c r="AZ502" i="2"/>
  <c r="AT503" i="2"/>
  <c r="AU503" i="2"/>
  <c r="AV503" i="2"/>
  <c r="AW503" i="2"/>
  <c r="AX503" i="2"/>
  <c r="AY503" i="2"/>
  <c r="AZ503" i="2"/>
  <c r="AT504" i="2"/>
  <c r="AU504" i="2"/>
  <c r="AV504" i="2"/>
  <c r="AW504" i="2"/>
  <c r="AX504" i="2"/>
  <c r="AY504" i="2"/>
  <c r="AZ504" i="2"/>
  <c r="AT505" i="2"/>
  <c r="AU505" i="2"/>
  <c r="AV505" i="2"/>
  <c r="AW505" i="2"/>
  <c r="AX505" i="2"/>
  <c r="AY505" i="2"/>
  <c r="AZ505" i="2"/>
  <c r="AT484" i="2"/>
  <c r="AT506" i="2" s="1"/>
  <c r="AU484" i="2"/>
  <c r="AU506" i="2" s="1"/>
  <c r="AV484" i="2"/>
  <c r="AV506" i="2" s="1"/>
  <c r="AW484" i="2"/>
  <c r="AW506" i="2" s="1"/>
  <c r="AX484" i="2"/>
  <c r="AX506" i="2" s="1"/>
  <c r="AY484" i="2"/>
  <c r="AY506" i="2" s="1"/>
  <c r="AZ484" i="2"/>
  <c r="AZ506" i="2" s="1"/>
  <c r="AT485" i="2"/>
  <c r="AT507" i="2" s="1"/>
  <c r="AU485" i="2"/>
  <c r="AU507" i="2" s="1"/>
  <c r="AV485" i="2"/>
  <c r="AV507" i="2" s="1"/>
  <c r="AW485" i="2"/>
  <c r="AW507" i="2" s="1"/>
  <c r="AX485" i="2"/>
  <c r="AX507" i="2" s="1"/>
  <c r="AY485" i="2"/>
  <c r="AY507" i="2" s="1"/>
  <c r="AZ485" i="2"/>
  <c r="AZ507" i="2" s="1"/>
  <c r="AT486" i="2"/>
  <c r="AT508" i="2" s="1"/>
  <c r="AU486" i="2"/>
  <c r="AU508" i="2" s="1"/>
  <c r="AV486" i="2"/>
  <c r="AV508" i="2" s="1"/>
  <c r="AW486" i="2"/>
  <c r="AW508" i="2" s="1"/>
  <c r="AX486" i="2"/>
  <c r="AX508" i="2" s="1"/>
  <c r="AY486" i="2"/>
  <c r="AY508" i="2" s="1"/>
  <c r="AZ486" i="2"/>
  <c r="AZ508" i="2" s="1"/>
  <c r="AT487" i="2"/>
  <c r="AT509" i="2" s="1"/>
  <c r="AU487" i="2"/>
  <c r="AU509" i="2" s="1"/>
  <c r="AV487" i="2"/>
  <c r="AV509" i="2" s="1"/>
  <c r="AW487" i="2"/>
  <c r="AW509" i="2" s="1"/>
  <c r="AX487" i="2"/>
  <c r="AX509" i="2" s="1"/>
  <c r="AY487" i="2"/>
  <c r="AY509" i="2" s="1"/>
  <c r="AZ487" i="2"/>
  <c r="AZ509" i="2" s="1"/>
  <c r="AT488" i="2"/>
  <c r="AT510" i="2" s="1"/>
  <c r="AU488" i="2"/>
  <c r="AU510" i="2" s="1"/>
  <c r="AV488" i="2"/>
  <c r="AV510" i="2" s="1"/>
  <c r="AW488" i="2"/>
  <c r="AW510" i="2" s="1"/>
  <c r="AX488" i="2"/>
  <c r="AX510" i="2" s="1"/>
  <c r="AY488" i="2"/>
  <c r="AY510" i="2" s="1"/>
  <c r="AZ488" i="2"/>
  <c r="AZ510" i="2" s="1"/>
  <c r="AT489" i="2"/>
  <c r="AT511" i="2" s="1"/>
  <c r="AU489" i="2"/>
  <c r="AU511" i="2" s="1"/>
  <c r="AV489" i="2"/>
  <c r="AV511" i="2" s="1"/>
  <c r="AW489" i="2"/>
  <c r="AW511" i="2" s="1"/>
  <c r="AX489" i="2"/>
  <c r="AX511" i="2" s="1"/>
  <c r="AY489" i="2"/>
  <c r="AY511" i="2" s="1"/>
  <c r="AZ489" i="2"/>
  <c r="AZ511" i="2" s="1"/>
  <c r="E395" i="2"/>
  <c r="E334" i="2"/>
  <c r="E273" i="2"/>
  <c r="O62" i="44"/>
  <c r="P62" i="44"/>
  <c r="Q62" i="44"/>
  <c r="R62" i="44"/>
  <c r="O54" i="44"/>
  <c r="P54" i="44"/>
  <c r="P37" i="44"/>
  <c r="O37" i="44"/>
  <c r="EA17" i="44"/>
  <c r="EA19" i="44" s="1"/>
  <c r="DZ17" i="44"/>
  <c r="DZ19" i="44" s="1"/>
  <c r="DZ20" i="44" s="1"/>
  <c r="BX22" i="45"/>
  <c r="CL44" i="45"/>
  <c r="CL46" i="45" s="1"/>
  <c r="CL47" i="45" s="1"/>
  <c r="CJ44" i="45"/>
  <c r="CJ46" i="45" s="1"/>
  <c r="CJ47" i="45" s="1"/>
  <c r="CJ22" i="45"/>
  <c r="CK21" i="45"/>
  <c r="CI44" i="45"/>
  <c r="CI46" i="45" s="1"/>
  <c r="CK44" i="45"/>
  <c r="CK46" i="45" s="1"/>
  <c r="CK47" i="45" s="1"/>
  <c r="CK17" i="45"/>
  <c r="CK25" i="45"/>
  <c r="CK19" i="45"/>
  <c r="CK20" i="45"/>
  <c r="CL22" i="45"/>
  <c r="AQ57" i="2"/>
  <c r="AQ56" i="2"/>
  <c r="CI22" i="45"/>
  <c r="BE41" i="45"/>
  <c r="BH41" i="45" s="1"/>
  <c r="E342" i="2"/>
  <c r="BB342" i="2" s="1"/>
  <c r="BC342" i="2" s="1"/>
  <c r="D403" i="2" s="1"/>
  <c r="E339" i="2"/>
  <c r="BB339" i="2" s="1"/>
  <c r="C42" i="1"/>
  <c r="C39" i="1"/>
  <c r="C35" i="1"/>
  <c r="C32" i="1"/>
  <c r="C31" i="1"/>
  <c r="C30" i="1"/>
  <c r="C27" i="1"/>
  <c r="C26" i="1"/>
  <c r="C24" i="1"/>
  <c r="C18" i="1"/>
  <c r="C17" i="1"/>
  <c r="C15" i="1"/>
  <c r="B59" i="14" s="1"/>
  <c r="CL27" i="45"/>
  <c r="CJ27" i="45"/>
  <c r="BY27" i="45"/>
  <c r="BX27" i="45"/>
  <c r="CK26" i="45"/>
  <c r="CI27" i="45"/>
  <c r="OD24" i="44"/>
  <c r="OD26" i="44" s="1"/>
  <c r="OF24" i="44"/>
  <c r="OF26" i="44" s="1"/>
  <c r="OF31" i="44" s="1"/>
  <c r="G13" i="6"/>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SA21" i="44"/>
  <c r="SC21" i="44" s="1"/>
  <c r="SE21" i="44" s="1"/>
  <c r="SG21" i="44" s="1"/>
  <c r="SA22" i="44"/>
  <c r="SC22" i="44" s="1"/>
  <c r="SE22" i="44" s="1"/>
  <c r="SG22" i="44" s="1"/>
  <c r="SA23" i="44"/>
  <c r="SC23" i="44" s="1"/>
  <c r="SE23" i="44" s="1"/>
  <c r="SG23" i="44" s="1"/>
  <c r="AR436" i="2"/>
  <c r="AH70" i="2"/>
  <c r="AG70" i="2"/>
  <c r="A25" i="46"/>
  <c r="A24" i="46"/>
  <c r="A23" i="46"/>
  <c r="A22" i="46"/>
  <c r="A21" i="46"/>
  <c r="A20" i="46"/>
  <c r="A19" i="46"/>
  <c r="A18" i="46"/>
  <c r="A17" i="46"/>
  <c r="A16" i="46"/>
  <c r="A15" i="46"/>
  <c r="A14" i="46"/>
  <c r="A13" i="46"/>
  <c r="A12" i="46"/>
  <c r="A11" i="46"/>
  <c r="A10" i="46"/>
  <c r="A9" i="46"/>
  <c r="K20" i="2"/>
  <c r="R20" i="2"/>
  <c r="S20" i="2"/>
  <c r="U20" i="2"/>
  <c r="V20" i="2"/>
  <c r="W20" i="2"/>
  <c r="X20" i="2"/>
  <c r="Y20" i="2"/>
  <c r="Z20" i="2"/>
  <c r="AA20" i="2"/>
  <c r="N20" i="2"/>
  <c r="O20" i="2"/>
  <c r="P20" i="2"/>
  <c r="Q20" i="2"/>
  <c r="T20" i="2"/>
  <c r="L20" i="2"/>
  <c r="AC20" i="2"/>
  <c r="H20" i="2"/>
  <c r="I20" i="2"/>
  <c r="J20" i="2"/>
  <c r="AE20" i="2"/>
  <c r="AF20" i="2"/>
  <c r="AF47" i="2" s="1"/>
  <c r="AG20" i="2"/>
  <c r="AH20" i="2"/>
  <c r="AI20" i="2"/>
  <c r="M20" i="2"/>
  <c r="A6" i="45"/>
  <c r="S6" i="45"/>
  <c r="AK6" i="45"/>
  <c r="BC6" i="45"/>
  <c r="CM6" i="45"/>
  <c r="A8" i="45"/>
  <c r="S8" i="45"/>
  <c r="AK8" i="45"/>
  <c r="BC8" i="45"/>
  <c r="BU8" i="45"/>
  <c r="CM8" i="45"/>
  <c r="A9" i="45"/>
  <c r="S9" i="45"/>
  <c r="AK9" i="45"/>
  <c r="BC9" i="45"/>
  <c r="BU9" i="45"/>
  <c r="CM9" i="45"/>
  <c r="BD11" i="45"/>
  <c r="A17" i="45"/>
  <c r="S17" i="45"/>
  <c r="BC17" i="45"/>
  <c r="BU17" i="45"/>
  <c r="CM17" i="45"/>
  <c r="A18" i="45"/>
  <c r="S18" i="45"/>
  <c r="BC18" i="45"/>
  <c r="CM18" i="45"/>
  <c r="A19" i="45"/>
  <c r="S19" i="45"/>
  <c r="BC19" i="45"/>
  <c r="BJ19" i="45"/>
  <c r="CM19" i="45"/>
  <c r="A20" i="45"/>
  <c r="S20" i="45"/>
  <c r="BC20" i="45"/>
  <c r="CM20" i="45"/>
  <c r="A21" i="45"/>
  <c r="S21" i="45"/>
  <c r="BC21" i="45"/>
  <c r="CM21" i="45"/>
  <c r="A22" i="45"/>
  <c r="S22" i="45"/>
  <c r="BC22" i="45"/>
  <c r="CM22" i="45"/>
  <c r="A23" i="45"/>
  <c r="S23" i="45"/>
  <c r="BC23" i="45"/>
  <c r="CM23" i="45"/>
  <c r="A24" i="45"/>
  <c r="S24" i="45"/>
  <c r="BC24" i="45"/>
  <c r="CM24" i="45"/>
  <c r="A25" i="45"/>
  <c r="BC25" i="45"/>
  <c r="CM25" i="45"/>
  <c r="A26" i="45"/>
  <c r="BC26" i="45"/>
  <c r="CM26" i="45"/>
  <c r="A27" i="45"/>
  <c r="BC27" i="45"/>
  <c r="CM27" i="45"/>
  <c r="A28" i="45"/>
  <c r="BC28" i="45"/>
  <c r="CM28" i="45"/>
  <c r="A29" i="45"/>
  <c r="BC29" i="45"/>
  <c r="CM29" i="45"/>
  <c r="A30" i="45"/>
  <c r="BC30" i="45"/>
  <c r="CM30" i="45"/>
  <c r="A31" i="45"/>
  <c r="BC31" i="45"/>
  <c r="CM31" i="45"/>
  <c r="A32" i="45"/>
  <c r="BC32" i="45"/>
  <c r="A33" i="45"/>
  <c r="BC33" i="45"/>
  <c r="A34" i="45"/>
  <c r="A35" i="45"/>
  <c r="A36" i="45"/>
  <c r="A37" i="45"/>
  <c r="A38" i="45"/>
  <c r="A39" i="45"/>
  <c r="BS39" i="45"/>
  <c r="BT39" i="45"/>
  <c r="BC45" i="45"/>
  <c r="BC46" i="45"/>
  <c r="BC47" i="45"/>
  <c r="BM47" i="45"/>
  <c r="BC48" i="45"/>
  <c r="BE48" i="45"/>
  <c r="BK48" i="45" s="1"/>
  <c r="BK49" i="45" s="1"/>
  <c r="AP192" i="58" s="1"/>
  <c r="BC49" i="45"/>
  <c r="AQ1" i="44"/>
  <c r="AR1" i="44"/>
  <c r="A5" i="44"/>
  <c r="S5" i="44"/>
  <c r="AK5" i="44"/>
  <c r="BC5" i="44"/>
  <c r="BU5" i="44"/>
  <c r="CM5" i="44"/>
  <c r="DE5" i="44"/>
  <c r="DW5" i="44"/>
  <c r="EO5" i="44"/>
  <c r="FG5" i="44"/>
  <c r="FY5" i="44"/>
  <c r="GQ5" i="44"/>
  <c r="HI5" i="44"/>
  <c r="IA5" i="44"/>
  <c r="IS5" i="44"/>
  <c r="JK5" i="44"/>
  <c r="KC5" i="44"/>
  <c r="KU5" i="44"/>
  <c r="LM5" i="44"/>
  <c r="MW5" i="44"/>
  <c r="NO5" i="44"/>
  <c r="OG5" i="44"/>
  <c r="OY5" i="44"/>
  <c r="PQ5" i="44"/>
  <c r="QJ5" i="44"/>
  <c r="RB5" i="44"/>
  <c r="RT5" i="44"/>
  <c r="SL5" i="44"/>
  <c r="TE5" i="44"/>
  <c r="A7" i="44"/>
  <c r="S7" i="44"/>
  <c r="AK7" i="44"/>
  <c r="BC7" i="44"/>
  <c r="BU7" i="44"/>
  <c r="CM7" i="44"/>
  <c r="DE7" i="44"/>
  <c r="DW7" i="44"/>
  <c r="EO7" i="44"/>
  <c r="FG7" i="44"/>
  <c r="FY7" i="44"/>
  <c r="GQ7" i="44"/>
  <c r="HI7" i="44"/>
  <c r="IA7" i="44"/>
  <c r="IS7" i="44"/>
  <c r="JK7" i="44"/>
  <c r="KC7" i="44"/>
  <c r="KU7" i="44"/>
  <c r="LM7" i="44"/>
  <c r="ME7" i="44"/>
  <c r="MW7" i="44"/>
  <c r="NO7" i="44"/>
  <c r="OG7" i="44"/>
  <c r="OY7" i="44"/>
  <c r="PQ7" i="44"/>
  <c r="QJ7" i="44"/>
  <c r="RB7" i="44"/>
  <c r="RT7" i="44"/>
  <c r="SL7" i="44"/>
  <c r="TE7" i="44"/>
  <c r="A8" i="44"/>
  <c r="S8" i="44"/>
  <c r="AK8" i="44"/>
  <c r="BC8" i="44"/>
  <c r="BU8" i="44"/>
  <c r="CM8" i="44"/>
  <c r="DE8" i="44"/>
  <c r="DW8" i="44"/>
  <c r="EO8" i="44"/>
  <c r="FG8" i="44"/>
  <c r="FY8" i="44"/>
  <c r="GQ8" i="44"/>
  <c r="HI8" i="44"/>
  <c r="IA8" i="44"/>
  <c r="IS8" i="44"/>
  <c r="JK8" i="44"/>
  <c r="KC8" i="44"/>
  <c r="KU8" i="44"/>
  <c r="LM8" i="44"/>
  <c r="ME8" i="44"/>
  <c r="MW8" i="44"/>
  <c r="NO8" i="44"/>
  <c r="OG8" i="44"/>
  <c r="OY8" i="44"/>
  <c r="PQ8" i="44"/>
  <c r="QJ8" i="44"/>
  <c r="RB8" i="44"/>
  <c r="RT8" i="44"/>
  <c r="SL8" i="44"/>
  <c r="TE8" i="44"/>
  <c r="A15" i="44"/>
  <c r="AK15" i="44"/>
  <c r="NO15" i="44"/>
  <c r="RT15" i="44"/>
  <c r="SL15" i="44"/>
  <c r="A16" i="44"/>
  <c r="S16" i="44"/>
  <c r="AK16" i="44"/>
  <c r="BC16" i="44"/>
  <c r="BU16" i="44"/>
  <c r="CM16" i="44"/>
  <c r="DE16" i="44"/>
  <c r="DW16" i="44"/>
  <c r="EC17" i="44"/>
  <c r="EC19" i="44" s="1"/>
  <c r="EO16" i="44"/>
  <c r="FG16" i="44"/>
  <c r="FY16" i="44"/>
  <c r="GQ16" i="44"/>
  <c r="HI16" i="44"/>
  <c r="IA16" i="44"/>
  <c r="IS16" i="44"/>
  <c r="JK16" i="44"/>
  <c r="KC16" i="44"/>
  <c r="KI17" i="44"/>
  <c r="KI19" i="44" s="1"/>
  <c r="KI20" i="44" s="1"/>
  <c r="KK17" i="44"/>
  <c r="KK19" i="44" s="1"/>
  <c r="KK20" i="44" s="1"/>
  <c r="KM17" i="44"/>
  <c r="KM19" i="44" s="1"/>
  <c r="KO17" i="44"/>
  <c r="KO19" i="44" s="1"/>
  <c r="KO20" i="44" s="1"/>
  <c r="KU16" i="44"/>
  <c r="LM16" i="44"/>
  <c r="ME16" i="44"/>
  <c r="MW16" i="44"/>
  <c r="NO16" i="44"/>
  <c r="OG16" i="44"/>
  <c r="OY16" i="44"/>
  <c r="PQ16" i="44"/>
  <c r="QJ16" i="44"/>
  <c r="RB16" i="44"/>
  <c r="RT16" i="44"/>
  <c r="SE16" i="44"/>
  <c r="SG16" i="44" s="1"/>
  <c r="SL16" i="44"/>
  <c r="A17" i="44"/>
  <c r="S17" i="44"/>
  <c r="AK17" i="44"/>
  <c r="BC17" i="44"/>
  <c r="BU17" i="44"/>
  <c r="CM17" i="44"/>
  <c r="DE17" i="44"/>
  <c r="DW17" i="44"/>
  <c r="EE17" i="44"/>
  <c r="EE19" i="44" s="1"/>
  <c r="EG17" i="44"/>
  <c r="EG19" i="44" s="1"/>
  <c r="EI17" i="44"/>
  <c r="EI19" i="44" s="1"/>
  <c r="EO17" i="44"/>
  <c r="FG17" i="44"/>
  <c r="FY17" i="44"/>
  <c r="GQ17" i="44"/>
  <c r="HI17" i="44"/>
  <c r="IA17" i="44"/>
  <c r="IS17" i="44"/>
  <c r="JK17" i="44"/>
  <c r="KC17" i="44"/>
  <c r="KU17" i="44"/>
  <c r="LM17" i="44"/>
  <c r="ME17" i="44"/>
  <c r="MW17" i="44"/>
  <c r="NO17" i="44"/>
  <c r="OG17" i="44"/>
  <c r="OY17" i="44"/>
  <c r="PQ17" i="44"/>
  <c r="QJ17" i="44"/>
  <c r="QO17" i="44"/>
  <c r="RB17" i="44"/>
  <c r="RT17" i="44"/>
  <c r="SL17" i="44"/>
  <c r="A19" i="44"/>
  <c r="S18" i="44"/>
  <c r="AK18" i="44"/>
  <c r="BC18" i="44"/>
  <c r="BU18" i="44"/>
  <c r="CM18" i="44"/>
  <c r="DE18" i="44"/>
  <c r="DK19" i="44"/>
  <c r="DK21" i="44" s="1"/>
  <c r="DM19" i="44"/>
  <c r="DO19" i="44"/>
  <c r="DO21" i="44" s="1"/>
  <c r="DO22" i="44" s="1"/>
  <c r="DQ19" i="44"/>
  <c r="DQ21" i="44" s="1"/>
  <c r="DW18" i="44"/>
  <c r="EO18" i="44"/>
  <c r="FG18" i="44"/>
  <c r="FM18" i="44"/>
  <c r="FO18" i="44"/>
  <c r="FQ18" i="44"/>
  <c r="FS18" i="44"/>
  <c r="FY18" i="44"/>
  <c r="GQ18" i="44"/>
  <c r="HI18" i="44"/>
  <c r="HO18" i="44"/>
  <c r="HQ18" i="44"/>
  <c r="HS18" i="44"/>
  <c r="HU18" i="44"/>
  <c r="IA18" i="44"/>
  <c r="II18" i="44"/>
  <c r="II20" i="44" s="1"/>
  <c r="II21" i="44" s="1"/>
  <c r="IK18" i="44"/>
  <c r="IM18" i="44"/>
  <c r="IM20" i="44" s="1"/>
  <c r="IS18" i="44"/>
  <c r="JK18" i="44"/>
  <c r="JQ18" i="44"/>
  <c r="JQ20" i="44" s="1"/>
  <c r="KC18" i="44"/>
  <c r="KU18" i="44"/>
  <c r="LM18" i="44"/>
  <c r="ME18" i="44"/>
  <c r="MW18" i="44"/>
  <c r="NO18" i="44"/>
  <c r="OG18" i="44"/>
  <c r="OY18" i="44"/>
  <c r="PQ18" i="44"/>
  <c r="QJ18" i="44"/>
  <c r="QO18" i="44"/>
  <c r="RB18" i="44"/>
  <c r="RT18" i="44"/>
  <c r="SA18" i="44"/>
  <c r="SC18" i="44" s="1"/>
  <c r="SE18" i="44" s="1"/>
  <c r="SG18" i="44" s="1"/>
  <c r="SL18" i="44"/>
  <c r="A21" i="44"/>
  <c r="S19" i="44"/>
  <c r="AK19" i="44"/>
  <c r="BC19" i="44"/>
  <c r="BU19" i="44"/>
  <c r="CM19" i="44"/>
  <c r="CU19" i="44"/>
  <c r="CU20" i="44" s="1"/>
  <c r="DE19" i="44"/>
  <c r="DW19" i="44"/>
  <c r="EO19" i="44"/>
  <c r="FG19" i="44"/>
  <c r="FY19" i="44"/>
  <c r="GQ19" i="44"/>
  <c r="IA19" i="44"/>
  <c r="IS19" i="44"/>
  <c r="JK19" i="44"/>
  <c r="KC19" i="44"/>
  <c r="KU19" i="44"/>
  <c r="LM19" i="44"/>
  <c r="ME19" i="44"/>
  <c r="MW19" i="44"/>
  <c r="NO19" i="44"/>
  <c r="OG19" i="44"/>
  <c r="OY19" i="44"/>
  <c r="PQ19" i="44"/>
  <c r="PV19" i="44"/>
  <c r="PX19" i="44" s="1"/>
  <c r="QJ19" i="44"/>
  <c r="QM19" i="44"/>
  <c r="QN19" i="44"/>
  <c r="RB19" i="44"/>
  <c r="RT19" i="44"/>
  <c r="SA19" i="44"/>
  <c r="SC19" i="44" s="1"/>
  <c r="SE19" i="44" s="1"/>
  <c r="SG19" i="44" s="1"/>
  <c r="SL19" i="44"/>
  <c r="A23" i="44"/>
  <c r="S20" i="44"/>
  <c r="AK20" i="44"/>
  <c r="AR18" i="44"/>
  <c r="BC20" i="44"/>
  <c r="BU20" i="44"/>
  <c r="CM20" i="44"/>
  <c r="CS20" i="44"/>
  <c r="CW20" i="44"/>
  <c r="CY20" i="44"/>
  <c r="DE20" i="44"/>
  <c r="DW20" i="44"/>
  <c r="EO20" i="44"/>
  <c r="FG20" i="44"/>
  <c r="FY20" i="44"/>
  <c r="GQ20" i="44"/>
  <c r="IA20" i="44"/>
  <c r="IS20" i="44"/>
  <c r="JK20" i="44"/>
  <c r="KC20" i="44"/>
  <c r="KU20" i="44"/>
  <c r="LM20" i="44"/>
  <c r="ME20" i="44"/>
  <c r="MM20" i="44"/>
  <c r="MM25" i="44" s="1"/>
  <c r="MM27" i="44" s="1"/>
  <c r="MO20" i="44"/>
  <c r="MO25" i="44" s="1"/>
  <c r="MO27" i="44" s="1"/>
  <c r="MQ20" i="44"/>
  <c r="MQ25" i="44" s="1"/>
  <c r="MQ27" i="44" s="1"/>
  <c r="MW20" i="44"/>
  <c r="NO20" i="44"/>
  <c r="OG20" i="44"/>
  <c r="OY20" i="44"/>
  <c r="PQ20" i="44"/>
  <c r="RB20" i="44"/>
  <c r="RT20" i="44"/>
  <c r="RY20" i="44"/>
  <c r="RY24" i="44" s="1"/>
  <c r="RY26" i="44" s="1"/>
  <c r="SL20" i="44"/>
  <c r="S21" i="44"/>
  <c r="AK21" i="44"/>
  <c r="BC21" i="44"/>
  <c r="BU21" i="44"/>
  <c r="CM21" i="44"/>
  <c r="DE21" i="44"/>
  <c r="DW21" i="44"/>
  <c r="EO21" i="44"/>
  <c r="FG21" i="44"/>
  <c r="FY21" i="44"/>
  <c r="GQ21" i="44"/>
  <c r="IA21" i="44"/>
  <c r="IS21" i="44"/>
  <c r="JK21" i="44"/>
  <c r="KU21" i="44"/>
  <c r="LM21" i="44"/>
  <c r="ME21" i="44"/>
  <c r="MW21" i="44"/>
  <c r="MY21" i="44"/>
  <c r="NO21" i="44"/>
  <c r="OG21" i="44"/>
  <c r="OY21" i="44"/>
  <c r="PQ21" i="44"/>
  <c r="RB21" i="44"/>
  <c r="RT21" i="44"/>
  <c r="SL21" i="44"/>
  <c r="A27" i="44"/>
  <c r="S22" i="44"/>
  <c r="AK22" i="44"/>
  <c r="BC22" i="44"/>
  <c r="BU22" i="44"/>
  <c r="DE22" i="44"/>
  <c r="EO22" i="44"/>
  <c r="FG22" i="44"/>
  <c r="FY22" i="44"/>
  <c r="GQ22" i="44"/>
  <c r="IS22" i="44"/>
  <c r="JK22" i="44"/>
  <c r="JM22" i="44"/>
  <c r="KU22" i="44"/>
  <c r="LM22" i="44"/>
  <c r="ME22" i="44"/>
  <c r="MW22" i="44"/>
  <c r="NO22" i="44"/>
  <c r="OG22" i="44"/>
  <c r="OY22" i="44"/>
  <c r="RB22" i="44"/>
  <c r="RT22" i="44"/>
  <c r="SL22" i="44"/>
  <c r="A18" i="44"/>
  <c r="G37" i="44"/>
  <c r="S23" i="44"/>
  <c r="AK23" i="44"/>
  <c r="BC23" i="44"/>
  <c r="BU23" i="44"/>
  <c r="BX23" i="44"/>
  <c r="BX24" i="44" s="1"/>
  <c r="EO23" i="44"/>
  <c r="FG23" i="44"/>
  <c r="FY23" i="44"/>
  <c r="GQ23" i="44"/>
  <c r="JK23" i="44"/>
  <c r="KU23" i="44"/>
  <c r="ME23" i="44"/>
  <c r="NO23" i="44"/>
  <c r="OG23" i="44"/>
  <c r="OY23" i="44"/>
  <c r="RB23" i="44"/>
  <c r="RT23" i="44"/>
  <c r="SL23" i="44"/>
  <c r="A20" i="44"/>
  <c r="S24" i="44"/>
  <c r="AK24" i="44"/>
  <c r="BC24" i="44"/>
  <c r="BU24" i="44"/>
  <c r="EO24" i="44"/>
  <c r="FY24" i="44"/>
  <c r="GQ24" i="44"/>
  <c r="KU24" i="44"/>
  <c r="ME24" i="44"/>
  <c r="NO24" i="44"/>
  <c r="NS24" i="44"/>
  <c r="NS26" i="44" s="1"/>
  <c r="NU24" i="44"/>
  <c r="NU26" i="44" s="1"/>
  <c r="NU29" i="44" s="1"/>
  <c r="NW24" i="44"/>
  <c r="OG24" i="44"/>
  <c r="OY24" i="44"/>
  <c r="RB24" i="44"/>
  <c r="RT24" i="44"/>
  <c r="SL24" i="44"/>
  <c r="A22" i="44"/>
  <c r="S25" i="44"/>
  <c r="AK25" i="44"/>
  <c r="BC25" i="44"/>
  <c r="EO25" i="44"/>
  <c r="FY25" i="44"/>
  <c r="GQ25" i="44"/>
  <c r="KU25" i="44"/>
  <c r="ME25" i="44"/>
  <c r="NO25" i="44"/>
  <c r="OG25" i="44"/>
  <c r="OY25" i="44"/>
  <c r="RB25" i="44"/>
  <c r="RT25" i="44"/>
  <c r="SL25" i="44"/>
  <c r="A28" i="44"/>
  <c r="S26" i="44"/>
  <c r="AK26" i="44"/>
  <c r="BC26" i="44"/>
  <c r="EO26" i="44"/>
  <c r="FY26" i="44"/>
  <c r="GQ26" i="44"/>
  <c r="KU26" i="44"/>
  <c r="ME26" i="44"/>
  <c r="NO26" i="44"/>
  <c r="OG26" i="44"/>
  <c r="OY26" i="44"/>
  <c r="RB26" i="44"/>
  <c r="RT26" i="44"/>
  <c r="SL26" i="44"/>
  <c r="A29" i="44"/>
  <c r="S27" i="44"/>
  <c r="AK27" i="44"/>
  <c r="BC27" i="44"/>
  <c r="EO27" i="44"/>
  <c r="FY27" i="44"/>
  <c r="GC27" i="44"/>
  <c r="GQ27" i="44"/>
  <c r="KU27" i="44"/>
  <c r="ME27" i="44"/>
  <c r="NO27" i="44"/>
  <c r="OG27" i="44"/>
  <c r="OY27" i="44"/>
  <c r="RB27" i="44"/>
  <c r="RT27" i="44"/>
  <c r="SL27" i="44"/>
  <c r="A30" i="44"/>
  <c r="F37" i="44"/>
  <c r="H37" i="44"/>
  <c r="R37" i="44"/>
  <c r="S28" i="44"/>
  <c r="AK28" i="44"/>
  <c r="FY28" i="44"/>
  <c r="GQ28" i="44"/>
  <c r="KU28" i="44"/>
  <c r="ME28" i="44"/>
  <c r="NO28" i="44"/>
  <c r="OG28" i="44"/>
  <c r="OY28" i="44"/>
  <c r="RB28" i="44"/>
  <c r="RT28" i="44"/>
  <c r="SL28" i="44"/>
  <c r="A31" i="44"/>
  <c r="S29" i="44"/>
  <c r="Y33" i="44"/>
  <c r="AA33" i="44"/>
  <c r="AC33" i="44"/>
  <c r="AE33" i="44"/>
  <c r="AK29" i="44"/>
  <c r="FY29" i="44"/>
  <c r="GQ29" i="44"/>
  <c r="KU29" i="44"/>
  <c r="ME29" i="44"/>
  <c r="NO29" i="44"/>
  <c r="OG29" i="44"/>
  <c r="OY29" i="44"/>
  <c r="RB29" i="44"/>
  <c r="RT29" i="44"/>
  <c r="SL29" i="44"/>
  <c r="A32" i="44"/>
  <c r="S30" i="44"/>
  <c r="AK30" i="44"/>
  <c r="FY30" i="44"/>
  <c r="GQ30" i="44"/>
  <c r="KU30" i="44"/>
  <c r="ME30" i="44"/>
  <c r="NO30" i="44"/>
  <c r="OG30" i="44"/>
  <c r="OY30" i="44"/>
  <c r="RB30" i="44"/>
  <c r="RT30" i="44"/>
  <c r="SL30" i="44"/>
  <c r="A33" i="44"/>
  <c r="S31" i="44"/>
  <c r="AK31" i="44"/>
  <c r="FY31" i="44"/>
  <c r="GQ31" i="44"/>
  <c r="KU31" i="44"/>
  <c r="ME31" i="44"/>
  <c r="NO31" i="44"/>
  <c r="OG31" i="44"/>
  <c r="OY31" i="44"/>
  <c r="RB31" i="44"/>
  <c r="RT31" i="44"/>
  <c r="SL31" i="44"/>
  <c r="A34" i="44"/>
  <c r="S32" i="44"/>
  <c r="FY32" i="44"/>
  <c r="GQ32" i="44"/>
  <c r="KU32" i="44"/>
  <c r="KW32" i="44"/>
  <c r="ME32" i="44"/>
  <c r="OG32" i="44"/>
  <c r="OY32" i="44"/>
  <c r="RB32" i="44"/>
  <c r="RT32" i="44"/>
  <c r="SL32" i="44"/>
  <c r="A35" i="44"/>
  <c r="S33" i="44"/>
  <c r="GQ33" i="44"/>
  <c r="KU33" i="44"/>
  <c r="ME33" i="44"/>
  <c r="OG33" i="44"/>
  <c r="OY33" i="44"/>
  <c r="RB33" i="44"/>
  <c r="RT33" i="44"/>
  <c r="SL33" i="44"/>
  <c r="A36" i="44"/>
  <c r="S34" i="44"/>
  <c r="GQ34" i="44"/>
  <c r="GS34" i="44"/>
  <c r="ME34" i="44"/>
  <c r="OG34" i="44"/>
  <c r="OY34" i="44"/>
  <c r="RB34" i="44"/>
  <c r="RT34" i="44"/>
  <c r="AF178" i="2"/>
  <c r="AF239" i="2"/>
  <c r="AF300" i="2"/>
  <c r="SL34" i="44"/>
  <c r="A37" i="44"/>
  <c r="S35" i="44"/>
  <c r="GQ35" i="44"/>
  <c r="ME35" i="44"/>
  <c r="OG35" i="44"/>
  <c r="OY35" i="44"/>
  <c r="PO35" i="44"/>
  <c r="PP35" i="44"/>
  <c r="RB35" i="44"/>
  <c r="RT35" i="44"/>
  <c r="RY35" i="44"/>
  <c r="SL35" i="44"/>
  <c r="A38" i="44"/>
  <c r="S36" i="44"/>
  <c r="GQ36" i="44"/>
  <c r="OG36" i="44"/>
  <c r="OY36" i="44"/>
  <c r="RB36" i="44"/>
  <c r="SL36" i="44"/>
  <c r="A39" i="44"/>
  <c r="S37" i="44"/>
  <c r="OG37" i="44"/>
  <c r="OY37" i="44"/>
  <c r="SL37" i="44"/>
  <c r="A40" i="44"/>
  <c r="S38" i="44"/>
  <c r="OG38" i="44"/>
  <c r="OY38" i="44"/>
  <c r="SL38" i="44"/>
  <c r="A41" i="44"/>
  <c r="S39" i="44"/>
  <c r="OG39" i="44"/>
  <c r="OY39" i="44"/>
  <c r="SL39" i="44"/>
  <c r="A42" i="44"/>
  <c r="OG40" i="44"/>
  <c r="OY40" i="44"/>
  <c r="SL40" i="44"/>
  <c r="A43" i="44"/>
  <c r="OG41" i="44"/>
  <c r="SL41" i="44"/>
  <c r="A44" i="44"/>
  <c r="OG42" i="44"/>
  <c r="OY41" i="44"/>
  <c r="SL42" i="44"/>
  <c r="A45" i="44"/>
  <c r="OY42" i="44"/>
  <c r="SL43" i="44"/>
  <c r="A46" i="44"/>
  <c r="OY43" i="44"/>
  <c r="SL44" i="44"/>
  <c r="A47" i="44"/>
  <c r="F54" i="44"/>
  <c r="H54" i="44"/>
  <c r="I54" i="44"/>
  <c r="J54" i="44"/>
  <c r="K54" i="44"/>
  <c r="L54" i="44"/>
  <c r="M54" i="44"/>
  <c r="N54" i="44"/>
  <c r="Q54" i="44"/>
  <c r="R54" i="44"/>
  <c r="OY44" i="44"/>
  <c r="SL45" i="44"/>
  <c r="A48" i="44"/>
  <c r="OY45" i="44"/>
  <c r="SL46" i="44"/>
  <c r="A49" i="44"/>
  <c r="Y61" i="44"/>
  <c r="AA61" i="44"/>
  <c r="AC61" i="44"/>
  <c r="AE61" i="44"/>
  <c r="OY46" i="44"/>
  <c r="SL47" i="44"/>
  <c r="A50" i="44"/>
  <c r="OY47" i="44"/>
  <c r="SL48" i="44"/>
  <c r="A51" i="44"/>
  <c r="SL49" i="44"/>
  <c r="A52" i="44"/>
  <c r="U64" i="44"/>
  <c r="SL50" i="44"/>
  <c r="A53" i="44"/>
  <c r="G62" i="44"/>
  <c r="SL51" i="44"/>
  <c r="A54" i="44"/>
  <c r="SL52" i="44"/>
  <c r="A55" i="44"/>
  <c r="F62" i="44"/>
  <c r="H62" i="44"/>
  <c r="I62" i="44"/>
  <c r="J62" i="44"/>
  <c r="K62" i="44"/>
  <c r="L62" i="44"/>
  <c r="M62" i="44"/>
  <c r="N62" i="44"/>
  <c r="SL53" i="44"/>
  <c r="A56" i="44"/>
  <c r="Y68" i="44"/>
  <c r="AA68" i="44"/>
  <c r="AC68" i="44"/>
  <c r="AE68" i="44"/>
  <c r="SL54" i="44"/>
  <c r="A57" i="44"/>
  <c r="Y69" i="44"/>
  <c r="AA69" i="44"/>
  <c r="AC69" i="44"/>
  <c r="AE69" i="44"/>
  <c r="SL55" i="44"/>
  <c r="A58" i="44"/>
  <c r="SL56" i="44"/>
  <c r="A59" i="44"/>
  <c r="SL57" i="44"/>
  <c r="A60" i="44"/>
  <c r="S67" i="44"/>
  <c r="SL58" i="44"/>
  <c r="A61" i="44"/>
  <c r="S68" i="44"/>
  <c r="SL59" i="44"/>
  <c r="A62" i="44"/>
  <c r="S69" i="44"/>
  <c r="SL60" i="44"/>
  <c r="A63" i="44"/>
  <c r="C70" i="44"/>
  <c r="S70" i="44"/>
  <c r="SL61" i="44"/>
  <c r="A64" i="44"/>
  <c r="S71" i="44"/>
  <c r="SL62" i="44"/>
  <c r="A65" i="44"/>
  <c r="S72" i="44"/>
  <c r="SL63" i="44"/>
  <c r="A66" i="44"/>
  <c r="S73" i="44"/>
  <c r="SL64" i="44"/>
  <c r="S74" i="44"/>
  <c r="SL65" i="44"/>
  <c r="SL66" i="44"/>
  <c r="SL67" i="44"/>
  <c r="SL68" i="44"/>
  <c r="SL69" i="44"/>
  <c r="SL70" i="44"/>
  <c r="SL71" i="44"/>
  <c r="SL72" i="44"/>
  <c r="SL73" i="44"/>
  <c r="SL74" i="44"/>
  <c r="SL75" i="44"/>
  <c r="SL76" i="44"/>
  <c r="SL77" i="44"/>
  <c r="SL78" i="44"/>
  <c r="SL79" i="44"/>
  <c r="SL80" i="44"/>
  <c r="SL81" i="44"/>
  <c r="SL82" i="44"/>
  <c r="SL83" i="44"/>
  <c r="SL84" i="44"/>
  <c r="SL85" i="44"/>
  <c r="SL86" i="44"/>
  <c r="SL87" i="44"/>
  <c r="SL88" i="44"/>
  <c r="SL89" i="44"/>
  <c r="SL90" i="44"/>
  <c r="SL91" i="44"/>
  <c r="SL92" i="44"/>
  <c r="SL93" i="44"/>
  <c r="SL94" i="44"/>
  <c r="SL95" i="44"/>
  <c r="SL96" i="44"/>
  <c r="SL97" i="44"/>
  <c r="SL98" i="44"/>
  <c r="SL99" i="44"/>
  <c r="SL100" i="44"/>
  <c r="SL101" i="44"/>
  <c r="SL102" i="44"/>
  <c r="SL103" i="44"/>
  <c r="TB212" i="44"/>
  <c r="TC212" i="44"/>
  <c r="TB213" i="44"/>
  <c r="TC213" i="44"/>
  <c r="TB214" i="44"/>
  <c r="TC214" i="44"/>
  <c r="TB215" i="44"/>
  <c r="TC215" i="44"/>
  <c r="TB216" i="44"/>
  <c r="TC216" i="44"/>
  <c r="TB218" i="44"/>
  <c r="TC218" i="44"/>
  <c r="TB220" i="44"/>
  <c r="TC220" i="44"/>
  <c r="TB222" i="44"/>
  <c r="TC222" i="44"/>
  <c r="TB224" i="44"/>
  <c r="TC224" i="44"/>
  <c r="TB225" i="44"/>
  <c r="TC225" i="44"/>
  <c r="TB226" i="44"/>
  <c r="TC226" i="44"/>
  <c r="TB227" i="44"/>
  <c r="TC227" i="44"/>
  <c r="TB230" i="44"/>
  <c r="TC230" i="44"/>
  <c r="TB234" i="44"/>
  <c r="TC234" i="44"/>
  <c r="TB236" i="44"/>
  <c r="TC236" i="44"/>
  <c r="TB238" i="44"/>
  <c r="TC238" i="44"/>
  <c r="TB240" i="44"/>
  <c r="TC240" i="44"/>
  <c r="TB242" i="44"/>
  <c r="TC242" i="44"/>
  <c r="TB243" i="44"/>
  <c r="TC243" i="44"/>
  <c r="TB244" i="44"/>
  <c r="TC244" i="44"/>
  <c r="TB245" i="44"/>
  <c r="TC245" i="44"/>
  <c r="TB248" i="44"/>
  <c r="TC248" i="44"/>
  <c r="TB249" i="44"/>
  <c r="TC249" i="44"/>
  <c r="TB251" i="44"/>
  <c r="TC251" i="44"/>
  <c r="TB252" i="44"/>
  <c r="TC252" i="44"/>
  <c r="TB254" i="44"/>
  <c r="TC254" i="44"/>
  <c r="TB256" i="44"/>
  <c r="TC256" i="44"/>
  <c r="TB258" i="44"/>
  <c r="TC258" i="44"/>
  <c r="TB260" i="44"/>
  <c r="TC260" i="44"/>
  <c r="TB261" i="44"/>
  <c r="TC261" i="44"/>
  <c r="TB262" i="44"/>
  <c r="TC262" i="44"/>
  <c r="TB263" i="44"/>
  <c r="TC263" i="44"/>
  <c r="TB266" i="44"/>
  <c r="TC266" i="44"/>
  <c r="TB267" i="44"/>
  <c r="TC267" i="44"/>
  <c r="TB268" i="44"/>
  <c r="TC268" i="44"/>
  <c r="TB269" i="44"/>
  <c r="TC269" i="44"/>
  <c r="TB270" i="44"/>
  <c r="TC270" i="44"/>
  <c r="TB272" i="44"/>
  <c r="TC272" i="44"/>
  <c r="TB274" i="44"/>
  <c r="TC274" i="44"/>
  <c r="TB276" i="44"/>
  <c r="TC276" i="44"/>
  <c r="TB278" i="44"/>
  <c r="TC278" i="44"/>
  <c r="TB279" i="44"/>
  <c r="TC279" i="44"/>
  <c r="TB280" i="44"/>
  <c r="TC280" i="44"/>
  <c r="TB281" i="44"/>
  <c r="TC281" i="44"/>
  <c r="TB284" i="44"/>
  <c r="TC284" i="44"/>
  <c r="TB285" i="44"/>
  <c r="TC285" i="44"/>
  <c r="TB286" i="44"/>
  <c r="TC286" i="44"/>
  <c r="TB287" i="44"/>
  <c r="TC287" i="44"/>
  <c r="TB288" i="44"/>
  <c r="TC288" i="44"/>
  <c r="TB290" i="44"/>
  <c r="TC290" i="44"/>
  <c r="TB292" i="44"/>
  <c r="TC292" i="44"/>
  <c r="TB294" i="44"/>
  <c r="TC294" i="44"/>
  <c r="TB296" i="44"/>
  <c r="TC296" i="44"/>
  <c r="TB297" i="44"/>
  <c r="TC297" i="44"/>
  <c r="TB298" i="44"/>
  <c r="TC298" i="44"/>
  <c r="TB299" i="44"/>
  <c r="TC299" i="44"/>
  <c r="BO22" i="45"/>
  <c r="BG44" i="45"/>
  <c r="BY22" i="45"/>
  <c r="BF31" i="45"/>
  <c r="FM23" i="44"/>
  <c r="EW23" i="44"/>
  <c r="EW25" i="44" s="1"/>
  <c r="IG18" i="44"/>
  <c r="IF16" i="44"/>
  <c r="IH16" i="44" s="1"/>
  <c r="IJ16" i="44" s="1"/>
  <c r="JE19" i="44"/>
  <c r="JE21" i="44" s="1"/>
  <c r="S287" i="2" s="1"/>
  <c r="JC19" i="44"/>
  <c r="JC21" i="44" s="1"/>
  <c r="JA19" i="44"/>
  <c r="JA21" i="44" s="1"/>
  <c r="IY19" i="44"/>
  <c r="IY21" i="44" s="1"/>
  <c r="FA23" i="44"/>
  <c r="EY23" i="44"/>
  <c r="EY25" i="44" s="1"/>
  <c r="EY27" i="44" s="1"/>
  <c r="LU22" i="44"/>
  <c r="IF17" i="44"/>
  <c r="IE18" i="44"/>
  <c r="ID18" i="44"/>
  <c r="SF33" i="44"/>
  <c r="AF299" i="2" s="1"/>
  <c r="EY19" i="44"/>
  <c r="I37" i="44"/>
  <c r="SD20" i="44"/>
  <c r="SD24" i="44" s="1"/>
  <c r="SD26" i="44" s="1"/>
  <c r="LS22" i="44"/>
  <c r="BJ21" i="45"/>
  <c r="BL21" i="45" s="1"/>
  <c r="BN21" i="45" s="1"/>
  <c r="BP21" i="45" s="1"/>
  <c r="BJ20" i="45"/>
  <c r="BL20" i="45" s="1"/>
  <c r="BN20" i="45" s="1"/>
  <c r="BP20" i="45" s="1"/>
  <c r="QX19" i="44"/>
  <c r="AD375" i="2" s="1"/>
  <c r="LY22" i="44"/>
  <c r="BO44" i="45"/>
  <c r="FA19" i="44"/>
  <c r="BK31" i="45"/>
  <c r="BF44" i="45"/>
  <c r="SB33" i="44"/>
  <c r="AF177" i="2" s="1"/>
  <c r="BK22" i="45"/>
  <c r="BI22" i="45"/>
  <c r="FO23" i="44"/>
  <c r="BG22" i="45"/>
  <c r="FQ23" i="44"/>
  <c r="BF22" i="45"/>
  <c r="SD33" i="44"/>
  <c r="AF238" i="2" s="1"/>
  <c r="SF20" i="44"/>
  <c r="SF24" i="44" s="1"/>
  <c r="SF26" i="44" s="1"/>
  <c r="SB20" i="44"/>
  <c r="SB24" i="44" s="1"/>
  <c r="SB26" i="44" s="1"/>
  <c r="IX18" i="44"/>
  <c r="IZ18" i="44" s="1"/>
  <c r="JB18" i="44" s="1"/>
  <c r="JD18" i="44" s="1"/>
  <c r="JF18" i="44" s="1"/>
  <c r="IV19" i="44"/>
  <c r="IV21" i="44" s="1"/>
  <c r="LW22" i="44"/>
  <c r="BM22" i="45"/>
  <c r="AR16" i="44"/>
  <c r="RZ33" i="44"/>
  <c r="AF116" i="2" s="1"/>
  <c r="BI31" i="45"/>
  <c r="IW19" i="44"/>
  <c r="IW21" i="44" s="1"/>
  <c r="IX17" i="44"/>
  <c r="IZ17" i="44" s="1"/>
  <c r="FS23" i="44"/>
  <c r="RZ20" i="44"/>
  <c r="RZ24" i="44" s="1"/>
  <c r="RZ26" i="44" s="1"/>
  <c r="SA17" i="44"/>
  <c r="SC17" i="44" s="1"/>
  <c r="SE17" i="44" s="1"/>
  <c r="SG17" i="44" s="1"/>
  <c r="BH39" i="45"/>
  <c r="BJ39" i="45" s="1"/>
  <c r="BL39" i="45" s="1"/>
  <c r="BN39" i="45" s="1"/>
  <c r="BP39" i="45" s="1"/>
  <c r="BO31" i="45"/>
  <c r="BM31" i="45"/>
  <c r="BM33" i="45" s="1"/>
  <c r="BK44" i="45"/>
  <c r="BK46" i="45" s="1"/>
  <c r="BM44" i="45"/>
  <c r="G16" i="2"/>
  <c r="AN20" i="44"/>
  <c r="E403" i="2"/>
  <c r="BB403" i="2" s="1"/>
  <c r="E400" i="2"/>
  <c r="BB400" i="2" s="1"/>
  <c r="QY19" i="44"/>
  <c r="RA19" i="44"/>
  <c r="LJ26" i="44"/>
  <c r="LJ29" i="44" s="1"/>
  <c r="LJ31" i="44" s="1"/>
  <c r="HE32" i="44"/>
  <c r="HG32" i="44"/>
  <c r="HF32" i="44"/>
  <c r="HH32" i="44"/>
  <c r="AH11" i="2"/>
  <c r="AG11" i="2"/>
  <c r="AF11" i="2"/>
  <c r="AE11" i="2"/>
  <c r="AB11" i="2"/>
  <c r="AA11" i="2"/>
  <c r="Z11" i="2"/>
  <c r="Y11" i="2"/>
  <c r="X11" i="2"/>
  <c r="W11" i="2"/>
  <c r="V11" i="2"/>
  <c r="U11" i="2"/>
  <c r="T11" i="2"/>
  <c r="S11" i="2"/>
  <c r="R11" i="2"/>
  <c r="Q11" i="2"/>
  <c r="P11" i="2"/>
  <c r="O11" i="2"/>
  <c r="N11" i="2"/>
  <c r="M11" i="2"/>
  <c r="L11" i="2"/>
  <c r="K11" i="2"/>
  <c r="J11" i="2"/>
  <c r="I11" i="2"/>
  <c r="H11" i="2"/>
  <c r="G11" i="2"/>
  <c r="F11" i="2"/>
  <c r="E11" i="2"/>
  <c r="BB11" i="2" s="1"/>
  <c r="D11" i="2"/>
  <c r="BH180" i="2"/>
  <c r="AH493" i="2"/>
  <c r="AG493" i="2"/>
  <c r="AF493" i="2"/>
  <c r="AE493" i="2"/>
  <c r="AH492" i="2"/>
  <c r="AG492" i="2"/>
  <c r="AF492" i="2"/>
  <c r="AE492" i="2"/>
  <c r="AH491" i="2"/>
  <c r="AG491" i="2"/>
  <c r="AE491" i="2"/>
  <c r="A68" i="2"/>
  <c r="A69" i="2"/>
  <c r="A70" i="2"/>
  <c r="A71" i="2"/>
  <c r="A72" i="2"/>
  <c r="N13" i="1"/>
  <c r="O13" i="1" s="1"/>
  <c r="AR426" i="2"/>
  <c r="AR488" i="2"/>
  <c r="AR510" i="2" s="1"/>
  <c r="AP426" i="2"/>
  <c r="AI426" i="2"/>
  <c r="AI488" i="2"/>
  <c r="AI510" i="2" s="1"/>
  <c r="AC426" i="2"/>
  <c r="Z426" i="2"/>
  <c r="Z488" i="2"/>
  <c r="Z510" i="2" s="1"/>
  <c r="Y426" i="2"/>
  <c r="X426" i="2"/>
  <c r="W426" i="2"/>
  <c r="W488" i="2"/>
  <c r="W510" i="2" s="1"/>
  <c r="V426" i="2"/>
  <c r="U426" i="2"/>
  <c r="U488" i="2"/>
  <c r="U510" i="2" s="1"/>
  <c r="T426" i="2"/>
  <c r="T488" i="2"/>
  <c r="T510" i="2" s="1"/>
  <c r="S426" i="2"/>
  <c r="S488" i="2"/>
  <c r="S510" i="2" s="1"/>
  <c r="R426" i="2"/>
  <c r="R488" i="2"/>
  <c r="R510" i="2" s="1"/>
  <c r="Q426" i="2"/>
  <c r="Q488" i="2"/>
  <c r="Q510" i="2" s="1"/>
  <c r="P426" i="2"/>
  <c r="P488" i="2"/>
  <c r="P510" i="2" s="1"/>
  <c r="O426" i="2"/>
  <c r="O488" i="2"/>
  <c r="O510" i="2" s="1"/>
  <c r="N426" i="2"/>
  <c r="N488" i="2"/>
  <c r="N510" i="2" s="1"/>
  <c r="M426" i="2"/>
  <c r="M488" i="2"/>
  <c r="M510" i="2" s="1"/>
  <c r="L426" i="2"/>
  <c r="K426" i="2"/>
  <c r="K488" i="2"/>
  <c r="K510" i="2" s="1"/>
  <c r="J426" i="2"/>
  <c r="J488" i="2"/>
  <c r="J510" i="2" s="1"/>
  <c r="I426" i="2"/>
  <c r="I488" i="2"/>
  <c r="I510" i="2" s="1"/>
  <c r="G426" i="2"/>
  <c r="G488" i="2"/>
  <c r="G510" i="2" s="1"/>
  <c r="F426" i="2"/>
  <c r="F488" i="2"/>
  <c r="F510" i="2" s="1"/>
  <c r="E426" i="2"/>
  <c r="BB425" i="2"/>
  <c r="P56" i="1" s="1"/>
  <c r="Q56" i="1" s="1"/>
  <c r="BB424" i="2"/>
  <c r="P55" i="1" s="1"/>
  <c r="Q55" i="1" s="1"/>
  <c r="I55" i="17" s="1"/>
  <c r="K55" i="17" s="1"/>
  <c r="H426" i="2"/>
  <c r="H488" i="2"/>
  <c r="H510" i="2" s="1"/>
  <c r="BB410" i="2"/>
  <c r="P43" i="1" s="1"/>
  <c r="Q43" i="1" s="1"/>
  <c r="BB407" i="2"/>
  <c r="BB406" i="2"/>
  <c r="BB405" i="2"/>
  <c r="BB404" i="2"/>
  <c r="BB402" i="2"/>
  <c r="BB401" i="2"/>
  <c r="BB399" i="2"/>
  <c r="BB398" i="2"/>
  <c r="AR395" i="2"/>
  <c r="AR411" i="2" s="1"/>
  <c r="AQ395" i="2"/>
  <c r="AQ411" i="2" s="1"/>
  <c r="AP395" i="2"/>
  <c r="AP411" i="2" s="1"/>
  <c r="AI395" i="2"/>
  <c r="AI411" i="2" s="1"/>
  <c r="AH395" i="2"/>
  <c r="AH411" i="2" s="1"/>
  <c r="AG395" i="2"/>
  <c r="AG411" i="2" s="1"/>
  <c r="AF395" i="2"/>
  <c r="AF411" i="2" s="1"/>
  <c r="AE395" i="2"/>
  <c r="AE411" i="2" s="1"/>
  <c r="AC395" i="2"/>
  <c r="AC411" i="2" s="1"/>
  <c r="AB395" i="2"/>
  <c r="AB411" i="2" s="1"/>
  <c r="AA395" i="2"/>
  <c r="AA411" i="2" s="1"/>
  <c r="Z395" i="2"/>
  <c r="Z411" i="2" s="1"/>
  <c r="Y395" i="2"/>
  <c r="Y411" i="2" s="1"/>
  <c r="X395" i="2"/>
  <c r="X411" i="2" s="1"/>
  <c r="W395" i="2"/>
  <c r="W411" i="2" s="1"/>
  <c r="V395" i="2"/>
  <c r="V411" i="2" s="1"/>
  <c r="U395" i="2"/>
  <c r="U411" i="2" s="1"/>
  <c r="T395" i="2"/>
  <c r="T411" i="2" s="1"/>
  <c r="S395" i="2"/>
  <c r="S411" i="2" s="1"/>
  <c r="R395" i="2"/>
  <c r="R411" i="2" s="1"/>
  <c r="Q395" i="2"/>
  <c r="Q411" i="2" s="1"/>
  <c r="P395" i="2"/>
  <c r="P411" i="2" s="1"/>
  <c r="O395" i="2"/>
  <c r="O411" i="2" s="1"/>
  <c r="N395" i="2"/>
  <c r="N411" i="2" s="1"/>
  <c r="M395" i="2"/>
  <c r="M411" i="2" s="1"/>
  <c r="L395" i="2"/>
  <c r="L411" i="2" s="1"/>
  <c r="K395" i="2"/>
  <c r="K411" i="2" s="1"/>
  <c r="J395" i="2"/>
  <c r="J411" i="2" s="1"/>
  <c r="I395" i="2"/>
  <c r="H395" i="2"/>
  <c r="H411" i="2" s="1"/>
  <c r="G395" i="2"/>
  <c r="G411" i="2" s="1"/>
  <c r="F395" i="2"/>
  <c r="F411" i="2" s="1"/>
  <c r="BB394" i="2"/>
  <c r="P27" i="1" s="1"/>
  <c r="BB393" i="2"/>
  <c r="P26" i="1" s="1"/>
  <c r="Q26" i="1" s="1"/>
  <c r="I26" i="17" s="1"/>
  <c r="K26" i="17" s="1"/>
  <c r="BB392" i="2"/>
  <c r="P25" i="1" s="1"/>
  <c r="Q25" i="1" s="1"/>
  <c r="I25" i="17" s="1"/>
  <c r="K25" i="17" s="1"/>
  <c r="BB391" i="2"/>
  <c r="P24" i="1" s="1"/>
  <c r="Q24" i="1" s="1"/>
  <c r="I24" i="17" s="1"/>
  <c r="K24" i="17" s="1"/>
  <c r="AR386" i="2"/>
  <c r="AQ386" i="2"/>
  <c r="AP386" i="2"/>
  <c r="AH386" i="2"/>
  <c r="AG386" i="2"/>
  <c r="AF386" i="2"/>
  <c r="AE386" i="2"/>
  <c r="AC386" i="2"/>
  <c r="AA386" i="2"/>
  <c r="Z386" i="2"/>
  <c r="Y386" i="2"/>
  <c r="X386" i="2"/>
  <c r="W386" i="2"/>
  <c r="V386" i="2"/>
  <c r="U386" i="2"/>
  <c r="T386" i="2"/>
  <c r="S386" i="2"/>
  <c r="R386" i="2"/>
  <c r="Q386" i="2"/>
  <c r="P386" i="2"/>
  <c r="O386" i="2"/>
  <c r="N386" i="2"/>
  <c r="M386" i="2"/>
  <c r="L386" i="2"/>
  <c r="K386" i="2"/>
  <c r="J386" i="2"/>
  <c r="I386" i="2"/>
  <c r="H386" i="2"/>
  <c r="G386" i="2"/>
  <c r="F386" i="2"/>
  <c r="AB386" i="2"/>
  <c r="BB384" i="2"/>
  <c r="BB383" i="2"/>
  <c r="AR365" i="2"/>
  <c r="AP365" i="2"/>
  <c r="AP485" i="2"/>
  <c r="AP507" i="2" s="1"/>
  <c r="AI365" i="2"/>
  <c r="AI485" i="2"/>
  <c r="AI507" i="2" s="1"/>
  <c r="AC365" i="2"/>
  <c r="AC485" i="2"/>
  <c r="AC507" i="2" s="1"/>
  <c r="Z365" i="2"/>
  <c r="Z485" i="2"/>
  <c r="Z507" i="2" s="1"/>
  <c r="Y365" i="2"/>
  <c r="Y485" i="2"/>
  <c r="Y507" i="2" s="1"/>
  <c r="X365" i="2"/>
  <c r="X485" i="2"/>
  <c r="X507" i="2" s="1"/>
  <c r="W365" i="2"/>
  <c r="W485" i="2"/>
  <c r="W507" i="2" s="1"/>
  <c r="V365" i="2"/>
  <c r="V485" i="2"/>
  <c r="V507" i="2" s="1"/>
  <c r="U365" i="2"/>
  <c r="U485" i="2"/>
  <c r="U507" i="2" s="1"/>
  <c r="T365" i="2"/>
  <c r="T485" i="2"/>
  <c r="T507" i="2" s="1"/>
  <c r="S365" i="2"/>
  <c r="S485" i="2"/>
  <c r="S507" i="2" s="1"/>
  <c r="R365" i="2"/>
  <c r="R485" i="2"/>
  <c r="R507" i="2" s="1"/>
  <c r="Q365" i="2"/>
  <c r="Q485" i="2"/>
  <c r="Q507" i="2" s="1"/>
  <c r="P365" i="2"/>
  <c r="P485" i="2"/>
  <c r="P507" i="2" s="1"/>
  <c r="O365" i="2"/>
  <c r="O485" i="2"/>
  <c r="O507" i="2" s="1"/>
  <c r="N365" i="2"/>
  <c r="N485" i="2"/>
  <c r="N507" i="2" s="1"/>
  <c r="M365" i="2"/>
  <c r="L365" i="2"/>
  <c r="K365" i="2"/>
  <c r="K485" i="2"/>
  <c r="K507" i="2" s="1"/>
  <c r="J365" i="2"/>
  <c r="I365" i="2"/>
  <c r="I485" i="2"/>
  <c r="I507" i="2" s="1"/>
  <c r="G365" i="2"/>
  <c r="G485" i="2"/>
  <c r="G507" i="2" s="1"/>
  <c r="F365" i="2"/>
  <c r="F485" i="2"/>
  <c r="F507" i="2" s="1"/>
  <c r="E365" i="2"/>
  <c r="E485" i="2"/>
  <c r="E507" i="2" s="1"/>
  <c r="BB364" i="2"/>
  <c r="BC364" i="2" s="1"/>
  <c r="D425" i="2" s="1"/>
  <c r="BB363" i="2"/>
  <c r="BC363" i="2" s="1"/>
  <c r="D424" i="2" s="1"/>
  <c r="H365" i="2"/>
  <c r="BB349" i="2"/>
  <c r="N43" i="1" s="1"/>
  <c r="BB346" i="2"/>
  <c r="N40" i="1" s="1"/>
  <c r="BB345" i="2"/>
  <c r="N39" i="1" s="1"/>
  <c r="BB344" i="2"/>
  <c r="BB343" i="2"/>
  <c r="N37" i="1" s="1"/>
  <c r="BB341" i="2"/>
  <c r="N35" i="1" s="1"/>
  <c r="BB340" i="2"/>
  <c r="N34" i="1" s="1"/>
  <c r="BB338" i="2"/>
  <c r="N32" i="1" s="1"/>
  <c r="BB337" i="2"/>
  <c r="N31" i="1" s="1"/>
  <c r="AR334" i="2"/>
  <c r="AR350" i="2" s="1"/>
  <c r="AQ334" i="2"/>
  <c r="AQ350" i="2" s="1"/>
  <c r="AP334" i="2"/>
  <c r="AP350" i="2" s="1"/>
  <c r="AH334" i="2"/>
  <c r="AH350" i="2" s="1"/>
  <c r="AG334" i="2"/>
  <c r="AG350" i="2" s="1"/>
  <c r="AF334" i="2"/>
  <c r="AF350" i="2" s="1"/>
  <c r="AE334" i="2"/>
  <c r="AE350" i="2" s="1"/>
  <c r="AC334" i="2"/>
  <c r="AC350" i="2" s="1"/>
  <c r="AB334" i="2"/>
  <c r="AB350" i="2" s="1"/>
  <c r="AA334" i="2"/>
  <c r="AA350" i="2" s="1"/>
  <c r="Z334" i="2"/>
  <c r="Z350" i="2" s="1"/>
  <c r="Y334" i="2"/>
  <c r="Y350" i="2" s="1"/>
  <c r="X334" i="2"/>
  <c r="X350" i="2" s="1"/>
  <c r="W334" i="2"/>
  <c r="W350" i="2" s="1"/>
  <c r="V334" i="2"/>
  <c r="V350" i="2" s="1"/>
  <c r="U334" i="2"/>
  <c r="U350" i="2" s="1"/>
  <c r="T334" i="2"/>
  <c r="T350" i="2" s="1"/>
  <c r="S334" i="2"/>
  <c r="S350" i="2" s="1"/>
  <c r="R334" i="2"/>
  <c r="R350" i="2" s="1"/>
  <c r="Q334" i="2"/>
  <c r="Q350" i="2" s="1"/>
  <c r="P334" i="2"/>
  <c r="P350" i="2" s="1"/>
  <c r="O334" i="2"/>
  <c r="O350" i="2" s="1"/>
  <c r="N334" i="2"/>
  <c r="N350" i="2" s="1"/>
  <c r="M334" i="2"/>
  <c r="M350" i="2" s="1"/>
  <c r="L334" i="2"/>
  <c r="L350" i="2" s="1"/>
  <c r="K334" i="2"/>
  <c r="K350" i="2" s="1"/>
  <c r="J334" i="2"/>
  <c r="J350" i="2" s="1"/>
  <c r="I334" i="2"/>
  <c r="H334" i="2"/>
  <c r="H350" i="2" s="1"/>
  <c r="G334" i="2"/>
  <c r="G350" i="2" s="1"/>
  <c r="F334" i="2"/>
  <c r="F350" i="2" s="1"/>
  <c r="BB333" i="2"/>
  <c r="BC333" i="2" s="1"/>
  <c r="D394" i="2" s="1"/>
  <c r="BB332" i="2"/>
  <c r="BC332" i="2" s="1"/>
  <c r="D393" i="2" s="1"/>
  <c r="BB331" i="2"/>
  <c r="N25" i="1" s="1"/>
  <c r="AI334" i="2"/>
  <c r="AI350" i="2" s="1"/>
  <c r="AR325" i="2"/>
  <c r="AQ325" i="2"/>
  <c r="AP325" i="2"/>
  <c r="AH325" i="2"/>
  <c r="AG325" i="2"/>
  <c r="AF325" i="2"/>
  <c r="AE325" i="2"/>
  <c r="AC325" i="2"/>
  <c r="AA325" i="2"/>
  <c r="Z325" i="2"/>
  <c r="Y325" i="2"/>
  <c r="X325" i="2"/>
  <c r="W325" i="2"/>
  <c r="V325" i="2"/>
  <c r="U325" i="2"/>
  <c r="T325" i="2"/>
  <c r="S325" i="2"/>
  <c r="R325" i="2"/>
  <c r="Q325" i="2"/>
  <c r="P325" i="2"/>
  <c r="O325" i="2"/>
  <c r="N325" i="2"/>
  <c r="M325" i="2"/>
  <c r="L325" i="2"/>
  <c r="K325" i="2"/>
  <c r="J325" i="2"/>
  <c r="I325" i="2"/>
  <c r="H325" i="2"/>
  <c r="G325" i="2"/>
  <c r="F325" i="2"/>
  <c r="BB323" i="2"/>
  <c r="BC323" i="2" s="1"/>
  <c r="D384" i="2" s="1"/>
  <c r="BB322" i="2"/>
  <c r="BC322" i="2" s="1"/>
  <c r="D383" i="2" s="1"/>
  <c r="AQ365" i="2"/>
  <c r="AQ354" i="2" s="1"/>
  <c r="AQ485" i="2" s="1"/>
  <c r="AQ507" i="2" s="1"/>
  <c r="AQ426" i="2"/>
  <c r="AQ415" i="2" s="1"/>
  <c r="AQ488" i="2" s="1"/>
  <c r="AQ510" i="2" s="1"/>
  <c r="AR485" i="2"/>
  <c r="AR507" i="2" s="1"/>
  <c r="V488" i="2"/>
  <c r="V510" i="2" s="1"/>
  <c r="BB422" i="2"/>
  <c r="AC488" i="2"/>
  <c r="AC510" i="2" s="1"/>
  <c r="AB426" i="2"/>
  <c r="AB488" i="2"/>
  <c r="AB510" i="2" s="1"/>
  <c r="AP488" i="2"/>
  <c r="AP510" i="2" s="1"/>
  <c r="AI386" i="2"/>
  <c r="AA426" i="2"/>
  <c r="AA488" i="2"/>
  <c r="AA510" i="2" s="1"/>
  <c r="AA365" i="2"/>
  <c r="X488" i="2"/>
  <c r="X510" i="2" s="1"/>
  <c r="E488" i="2"/>
  <c r="E510" i="2" s="1"/>
  <c r="Y488" i="2"/>
  <c r="Y510" i="2" s="1"/>
  <c r="BB385" i="2"/>
  <c r="L488" i="2"/>
  <c r="L510" i="2" s="1"/>
  <c r="H485" i="2"/>
  <c r="H507" i="2" s="1"/>
  <c r="BB330" i="2"/>
  <c r="N24" i="1" s="1"/>
  <c r="J485" i="2"/>
  <c r="J507" i="2" s="1"/>
  <c r="AI325" i="2"/>
  <c r="L485" i="2"/>
  <c r="L507" i="2" s="1"/>
  <c r="M485" i="2"/>
  <c r="M507" i="2" s="1"/>
  <c r="AA485" i="2"/>
  <c r="AA507" i="2" s="1"/>
  <c r="BB303" i="2"/>
  <c r="L56" i="1" s="1"/>
  <c r="BB302" i="2"/>
  <c r="L55" i="1" s="1"/>
  <c r="BB261" i="2"/>
  <c r="L16" i="1" s="1"/>
  <c r="F264" i="2"/>
  <c r="G264" i="2"/>
  <c r="H264" i="2"/>
  <c r="I264" i="2"/>
  <c r="J264" i="2"/>
  <c r="K264" i="2"/>
  <c r="L264" i="2"/>
  <c r="M264" i="2"/>
  <c r="N264" i="2"/>
  <c r="O264" i="2"/>
  <c r="P264" i="2"/>
  <c r="Q264" i="2"/>
  <c r="R264" i="2"/>
  <c r="S264" i="2"/>
  <c r="T264" i="2"/>
  <c r="U264" i="2"/>
  <c r="V264" i="2"/>
  <c r="W264" i="2"/>
  <c r="X264" i="2"/>
  <c r="Y264" i="2"/>
  <c r="Z264" i="2"/>
  <c r="AA264" i="2"/>
  <c r="AC264" i="2"/>
  <c r="AE264" i="2"/>
  <c r="AF264" i="2"/>
  <c r="AG264" i="2"/>
  <c r="AP264" i="2"/>
  <c r="AR264" i="2"/>
  <c r="F273" i="2"/>
  <c r="F289" i="2" s="1"/>
  <c r="G273" i="2"/>
  <c r="G289" i="2" s="1"/>
  <c r="H273" i="2"/>
  <c r="I273" i="2"/>
  <c r="J273" i="2"/>
  <c r="J289" i="2" s="1"/>
  <c r="K273" i="2"/>
  <c r="K289" i="2" s="1"/>
  <c r="L273" i="2"/>
  <c r="L289" i="2" s="1"/>
  <c r="M273" i="2"/>
  <c r="M289" i="2" s="1"/>
  <c r="N273" i="2"/>
  <c r="N289" i="2" s="1"/>
  <c r="P273" i="2"/>
  <c r="P289" i="2" s="1"/>
  <c r="Q273" i="2"/>
  <c r="Q289" i="2" s="1"/>
  <c r="R273" i="2"/>
  <c r="R289" i="2" s="1"/>
  <c r="S273" i="2"/>
  <c r="T273" i="2"/>
  <c r="T289" i="2" s="1"/>
  <c r="U273" i="2"/>
  <c r="U289" i="2" s="1"/>
  <c r="V273" i="2"/>
  <c r="V289" i="2" s="1"/>
  <c r="W273" i="2"/>
  <c r="W289" i="2" s="1"/>
  <c r="X273" i="2"/>
  <c r="X289" i="2" s="1"/>
  <c r="Y273" i="2"/>
  <c r="Y289" i="2" s="1"/>
  <c r="Z273" i="2"/>
  <c r="AA273" i="2"/>
  <c r="AA289" i="2" s="1"/>
  <c r="AB273" i="2"/>
  <c r="AB289" i="2" s="1"/>
  <c r="AC273" i="2"/>
  <c r="AC289" i="2" s="1"/>
  <c r="AE273" i="2"/>
  <c r="AF273" i="2"/>
  <c r="AG273" i="2"/>
  <c r="AP273" i="2"/>
  <c r="AP289" i="2" s="1"/>
  <c r="AQ273" i="2"/>
  <c r="AR273" i="2"/>
  <c r="E304" i="2"/>
  <c r="E293" i="2" s="1"/>
  <c r="F304" i="2"/>
  <c r="F293" i="2" s="1"/>
  <c r="G304" i="2"/>
  <c r="G293" i="2" s="1"/>
  <c r="I304" i="2"/>
  <c r="I293" i="2" s="1"/>
  <c r="J304" i="2"/>
  <c r="J293" i="2" s="1"/>
  <c r="K304" i="2"/>
  <c r="K293" i="2" s="1"/>
  <c r="L304" i="2"/>
  <c r="L293" i="2" s="1"/>
  <c r="M304" i="2"/>
  <c r="M293" i="2" s="1"/>
  <c r="N304" i="2"/>
  <c r="N293" i="2" s="1"/>
  <c r="O304" i="2"/>
  <c r="O293" i="2" s="1"/>
  <c r="P304" i="2"/>
  <c r="P293" i="2" s="1"/>
  <c r="Q304" i="2"/>
  <c r="Q293" i="2" s="1"/>
  <c r="R304" i="2"/>
  <c r="R293" i="2" s="1"/>
  <c r="S304" i="2"/>
  <c r="S293" i="2" s="1"/>
  <c r="T304" i="2"/>
  <c r="T293" i="2" s="1"/>
  <c r="U304" i="2"/>
  <c r="U293" i="2" s="1"/>
  <c r="V304" i="2"/>
  <c r="V293" i="2" s="1"/>
  <c r="W304" i="2"/>
  <c r="W293" i="2" s="1"/>
  <c r="X304" i="2"/>
  <c r="X293" i="2" s="1"/>
  <c r="Y304" i="2"/>
  <c r="Y293" i="2" s="1"/>
  <c r="Z304" i="2"/>
  <c r="Z293" i="2" s="1"/>
  <c r="AC304" i="2"/>
  <c r="AC293" i="2" s="1"/>
  <c r="BB242" i="2"/>
  <c r="J56" i="1" s="1"/>
  <c r="BB241" i="2"/>
  <c r="J55" i="1" s="1"/>
  <c r="BB211" i="2"/>
  <c r="J27" i="1" s="1"/>
  <c r="BB200" i="2"/>
  <c r="J16" i="1" s="1"/>
  <c r="F203" i="2"/>
  <c r="G203" i="2"/>
  <c r="H203" i="2"/>
  <c r="I203" i="2"/>
  <c r="J203" i="2"/>
  <c r="K203" i="2"/>
  <c r="L203" i="2"/>
  <c r="M203" i="2"/>
  <c r="N203" i="2"/>
  <c r="O203" i="2"/>
  <c r="P203" i="2"/>
  <c r="Q203" i="2"/>
  <c r="R203" i="2"/>
  <c r="S203" i="2"/>
  <c r="T203" i="2"/>
  <c r="U203" i="2"/>
  <c r="V203" i="2"/>
  <c r="W203" i="2"/>
  <c r="X203" i="2"/>
  <c r="Y203" i="2"/>
  <c r="Z203" i="2"/>
  <c r="AA203" i="2"/>
  <c r="AC203" i="2"/>
  <c r="AE203" i="2"/>
  <c r="AF203" i="2"/>
  <c r="AG203" i="2"/>
  <c r="E212" i="2"/>
  <c r="F212" i="2"/>
  <c r="F228" i="2" s="1"/>
  <c r="G212" i="2"/>
  <c r="G228" i="2" s="1"/>
  <c r="H212" i="2"/>
  <c r="I212" i="2"/>
  <c r="J212" i="2"/>
  <c r="J228" i="2" s="1"/>
  <c r="K212" i="2"/>
  <c r="K228" i="2" s="1"/>
  <c r="L212" i="2"/>
  <c r="L228" i="2" s="1"/>
  <c r="M212" i="2"/>
  <c r="M228" i="2" s="1"/>
  <c r="N212" i="2"/>
  <c r="N228" i="2" s="1"/>
  <c r="P212" i="2"/>
  <c r="P228" i="2" s="1"/>
  <c r="Q212" i="2"/>
  <c r="Q228" i="2" s="1"/>
  <c r="R212" i="2"/>
  <c r="R228" i="2" s="1"/>
  <c r="S212" i="2"/>
  <c r="S228" i="2" s="1"/>
  <c r="T212" i="2"/>
  <c r="T228" i="2" s="1"/>
  <c r="U212" i="2"/>
  <c r="U228" i="2" s="1"/>
  <c r="V212" i="2"/>
  <c r="V228" i="2" s="1"/>
  <c r="W212" i="2"/>
  <c r="W228" i="2" s="1"/>
  <c r="X212" i="2"/>
  <c r="X228" i="2" s="1"/>
  <c r="Y212" i="2"/>
  <c r="Y228" i="2" s="1"/>
  <c r="Z212" i="2"/>
  <c r="AA212" i="2"/>
  <c r="AA228" i="2" s="1"/>
  <c r="AB212" i="2"/>
  <c r="AC212" i="2"/>
  <c r="AC228" i="2" s="1"/>
  <c r="AE212" i="2"/>
  <c r="AF212" i="2"/>
  <c r="AG212" i="2"/>
  <c r="AP212" i="2"/>
  <c r="AQ212" i="2"/>
  <c r="AR212" i="2"/>
  <c r="AR228" i="2" s="1"/>
  <c r="E243" i="2"/>
  <c r="E232" i="2" s="1"/>
  <c r="F243" i="2"/>
  <c r="F232" i="2" s="1"/>
  <c r="G243" i="2"/>
  <c r="G232" i="2" s="1"/>
  <c r="I243" i="2"/>
  <c r="I232" i="2" s="1"/>
  <c r="J243" i="2"/>
  <c r="J232" i="2" s="1"/>
  <c r="K243" i="2"/>
  <c r="K232" i="2" s="1"/>
  <c r="L243" i="2"/>
  <c r="L232" i="2" s="1"/>
  <c r="M243" i="2"/>
  <c r="M232" i="2" s="1"/>
  <c r="N243" i="2"/>
  <c r="N232" i="2" s="1"/>
  <c r="O243" i="2"/>
  <c r="O232" i="2" s="1"/>
  <c r="P243" i="2"/>
  <c r="P232" i="2" s="1"/>
  <c r="Q243" i="2"/>
  <c r="Q232" i="2" s="1"/>
  <c r="R243" i="2"/>
  <c r="R232" i="2" s="1"/>
  <c r="S243" i="2"/>
  <c r="S232" i="2" s="1"/>
  <c r="T243" i="2"/>
  <c r="T232" i="2" s="1"/>
  <c r="U243" i="2"/>
  <c r="U232" i="2" s="1"/>
  <c r="V243" i="2"/>
  <c r="V232" i="2" s="1"/>
  <c r="W243" i="2"/>
  <c r="W232" i="2" s="1"/>
  <c r="X243" i="2"/>
  <c r="X232" i="2" s="1"/>
  <c r="Y243" i="2"/>
  <c r="Y232" i="2" s="1"/>
  <c r="Z243" i="2"/>
  <c r="Z232" i="2" s="1"/>
  <c r="AC243" i="2"/>
  <c r="AC232" i="2" s="1"/>
  <c r="A15" i="2"/>
  <c r="A16" i="2"/>
  <c r="A17" i="2"/>
  <c r="BB139" i="2"/>
  <c r="H16" i="1" s="1"/>
  <c r="A18" i="2"/>
  <c r="BB18" i="2"/>
  <c r="D17" i="1" s="1"/>
  <c r="BB79" i="2"/>
  <c r="F17" i="1" s="1"/>
  <c r="BB140" i="2"/>
  <c r="H17" i="1" s="1"/>
  <c r="A19" i="2"/>
  <c r="A20" i="2"/>
  <c r="AP20" i="2"/>
  <c r="AQ20" i="2"/>
  <c r="AR20" i="2"/>
  <c r="F81" i="2"/>
  <c r="C63" i="14" s="1"/>
  <c r="H81" i="2"/>
  <c r="I81" i="2"/>
  <c r="J81" i="2"/>
  <c r="K81" i="2"/>
  <c r="L81" i="2"/>
  <c r="M81" i="2"/>
  <c r="N81" i="2"/>
  <c r="O81" i="2"/>
  <c r="P81" i="2"/>
  <c r="Q81" i="2"/>
  <c r="R81" i="2"/>
  <c r="S81" i="2"/>
  <c r="T81" i="2"/>
  <c r="U81" i="2"/>
  <c r="V81" i="2"/>
  <c r="W81" i="2"/>
  <c r="X81" i="2"/>
  <c r="Y81" i="2"/>
  <c r="Z81" i="2"/>
  <c r="AA81" i="2"/>
  <c r="AC81" i="2"/>
  <c r="AE81" i="2"/>
  <c r="AF81" i="2"/>
  <c r="AG81" i="2"/>
  <c r="AH81" i="2"/>
  <c r="AI81" i="2"/>
  <c r="AP81" i="2"/>
  <c r="AR81" i="2"/>
  <c r="F142" i="2"/>
  <c r="G142" i="2"/>
  <c r="H142" i="2"/>
  <c r="I142" i="2"/>
  <c r="J142" i="2"/>
  <c r="K142" i="2"/>
  <c r="L142" i="2"/>
  <c r="M142" i="2"/>
  <c r="N142" i="2"/>
  <c r="O142" i="2"/>
  <c r="P142" i="2"/>
  <c r="Q142" i="2"/>
  <c r="R142" i="2"/>
  <c r="S142" i="2"/>
  <c r="T142" i="2"/>
  <c r="U142" i="2"/>
  <c r="V142" i="2"/>
  <c r="W142" i="2"/>
  <c r="X142" i="2"/>
  <c r="Y142" i="2"/>
  <c r="Z142" i="2"/>
  <c r="AA142" i="2"/>
  <c r="AB142" i="2"/>
  <c r="AC142" i="2"/>
  <c r="AE142" i="2"/>
  <c r="AF142" i="2"/>
  <c r="AG142" i="2"/>
  <c r="AP142" i="2"/>
  <c r="AR142" i="2"/>
  <c r="A21" i="2"/>
  <c r="A22" i="2"/>
  <c r="A23" i="2"/>
  <c r="A24" i="2"/>
  <c r="A25" i="2"/>
  <c r="BB25" i="2"/>
  <c r="D24" i="1" s="1"/>
  <c r="BB86" i="2"/>
  <c r="F24" i="1" s="1"/>
  <c r="BB147" i="2"/>
  <c r="H24" i="1" s="1"/>
  <c r="A26" i="2"/>
  <c r="A27" i="2"/>
  <c r="BB27" i="2"/>
  <c r="D26" i="1" s="1"/>
  <c r="BB88" i="2"/>
  <c r="F26" i="1" s="1"/>
  <c r="BB149" i="2"/>
  <c r="H26" i="1" s="1"/>
  <c r="A28" i="2"/>
  <c r="BB89" i="2"/>
  <c r="F27" i="1" s="1"/>
  <c r="BB150" i="2"/>
  <c r="H27" i="1" s="1"/>
  <c r="A29" i="2"/>
  <c r="G29" i="2"/>
  <c r="H29" i="2"/>
  <c r="I29" i="2"/>
  <c r="J29" i="2"/>
  <c r="K29" i="2"/>
  <c r="L29" i="2"/>
  <c r="M29" i="2"/>
  <c r="N29" i="2"/>
  <c r="P29" i="2"/>
  <c r="Q29" i="2"/>
  <c r="R29" i="2"/>
  <c r="S29" i="2"/>
  <c r="T29" i="2"/>
  <c r="U29" i="2"/>
  <c r="W29" i="2"/>
  <c r="W45" i="2" s="1"/>
  <c r="X29" i="2"/>
  <c r="Y29" i="2"/>
  <c r="Z29" i="2"/>
  <c r="Z45" i="2" s="1"/>
  <c r="AA29" i="2"/>
  <c r="AB29" i="2"/>
  <c r="AC29" i="2"/>
  <c r="AP29" i="2"/>
  <c r="AQ29" i="2"/>
  <c r="AR29" i="2"/>
  <c r="AR45" i="2" s="1"/>
  <c r="E90" i="2"/>
  <c r="F90" i="2"/>
  <c r="F106" i="2" s="1"/>
  <c r="G90" i="2"/>
  <c r="H90" i="2"/>
  <c r="I90" i="2"/>
  <c r="J90" i="2"/>
  <c r="J106" i="2" s="1"/>
  <c r="K90" i="2"/>
  <c r="K106" i="2" s="1"/>
  <c r="L90" i="2"/>
  <c r="L106" i="2" s="1"/>
  <c r="M90" i="2"/>
  <c r="N90" i="2"/>
  <c r="N106" i="2" s="1"/>
  <c r="N108" i="2" s="1"/>
  <c r="P90" i="2"/>
  <c r="P106" i="2" s="1"/>
  <c r="Q90" i="2"/>
  <c r="Q106" i="2" s="1"/>
  <c r="R90" i="2"/>
  <c r="S90" i="2"/>
  <c r="S106" i="2" s="1"/>
  <c r="T90" i="2"/>
  <c r="T106" i="2" s="1"/>
  <c r="U90" i="2"/>
  <c r="U106" i="2" s="1"/>
  <c r="V90" i="2"/>
  <c r="V106" i="2" s="1"/>
  <c r="W90" i="2"/>
  <c r="W106" i="2" s="1"/>
  <c r="X90" i="2"/>
  <c r="X106" i="2" s="1"/>
  <c r="Y90" i="2"/>
  <c r="Y106" i="2" s="1"/>
  <c r="Z90" i="2"/>
  <c r="Z106" i="2" s="1"/>
  <c r="AA90" i="2"/>
  <c r="AB90" i="2"/>
  <c r="AC90" i="2"/>
  <c r="AC106" i="2" s="1"/>
  <c r="AE90" i="2"/>
  <c r="AF90" i="2"/>
  <c r="AG90" i="2"/>
  <c r="AH90" i="2"/>
  <c r="AI90" i="2"/>
  <c r="AP90" i="2"/>
  <c r="AQ90" i="2"/>
  <c r="AR90" i="2"/>
  <c r="E151" i="2"/>
  <c r="F151" i="2"/>
  <c r="F167" i="2" s="1"/>
  <c r="G151" i="2"/>
  <c r="G167" i="2" s="1"/>
  <c r="H151" i="2"/>
  <c r="I151" i="2"/>
  <c r="J151" i="2"/>
  <c r="J167" i="2" s="1"/>
  <c r="K151" i="2"/>
  <c r="K167" i="2" s="1"/>
  <c r="L151" i="2"/>
  <c r="L167" i="2" s="1"/>
  <c r="M151" i="2"/>
  <c r="M167" i="2" s="1"/>
  <c r="N151" i="2"/>
  <c r="N167" i="2" s="1"/>
  <c r="P151" i="2"/>
  <c r="P167" i="2" s="1"/>
  <c r="Q151" i="2"/>
  <c r="Q167" i="2" s="1"/>
  <c r="R151" i="2"/>
  <c r="R167" i="2" s="1"/>
  <c r="S151" i="2"/>
  <c r="S167" i="2" s="1"/>
  <c r="T151" i="2"/>
  <c r="T167" i="2" s="1"/>
  <c r="U151" i="2"/>
  <c r="U167" i="2" s="1"/>
  <c r="V151" i="2"/>
  <c r="V167" i="2" s="1"/>
  <c r="W151" i="2"/>
  <c r="W167" i="2" s="1"/>
  <c r="X151" i="2"/>
  <c r="X167" i="2" s="1"/>
  <c r="Y151" i="2"/>
  <c r="Y167" i="2" s="1"/>
  <c r="Z151" i="2"/>
  <c r="Z167" i="2" s="1"/>
  <c r="AA151" i="2"/>
  <c r="AA167" i="2" s="1"/>
  <c r="AB151" i="2"/>
  <c r="AB167" i="2" s="1"/>
  <c r="AC151" i="2"/>
  <c r="AC167" i="2" s="1"/>
  <c r="AE151" i="2"/>
  <c r="AF151" i="2"/>
  <c r="AG151" i="2"/>
  <c r="AP151" i="2"/>
  <c r="AP167" i="2" s="1"/>
  <c r="AQ151" i="2"/>
  <c r="AR151" i="2"/>
  <c r="A30" i="2"/>
  <c r="A31" i="2"/>
  <c r="A32" i="2"/>
  <c r="A33" i="2"/>
  <c r="A34" i="2"/>
  <c r="A35" i="2"/>
  <c r="A36" i="2"/>
  <c r="BB97" i="2"/>
  <c r="F35" i="1" s="1"/>
  <c r="BB158" i="2"/>
  <c r="H35" i="1" s="1"/>
  <c r="A37" i="2"/>
  <c r="A38" i="2"/>
  <c r="A39" i="2"/>
  <c r="A40" i="2"/>
  <c r="A41" i="2"/>
  <c r="A42" i="2"/>
  <c r="A43" i="2"/>
  <c r="A44" i="2"/>
  <c r="A45" i="2"/>
  <c r="A46" i="2"/>
  <c r="A47" i="2"/>
  <c r="A48" i="2"/>
  <c r="A49" i="2"/>
  <c r="A50" i="2"/>
  <c r="A51" i="2"/>
  <c r="A52" i="2"/>
  <c r="A53" i="2"/>
  <c r="A54" i="2"/>
  <c r="A55" i="2"/>
  <c r="A56" i="2"/>
  <c r="A57" i="2"/>
  <c r="A58" i="2"/>
  <c r="BB119" i="2"/>
  <c r="F55" i="1" s="1"/>
  <c r="A59" i="2"/>
  <c r="BB120" i="2"/>
  <c r="F56" i="1" s="1"/>
  <c r="BB181" i="2"/>
  <c r="H56" i="1" s="1"/>
  <c r="A60" i="2"/>
  <c r="E60" i="2"/>
  <c r="E49" i="2" s="1"/>
  <c r="F60" i="2"/>
  <c r="F49" i="2" s="1"/>
  <c r="G60" i="2"/>
  <c r="G49" i="2" s="1"/>
  <c r="H60" i="2"/>
  <c r="H49" i="2" s="1"/>
  <c r="I60" i="2"/>
  <c r="I49" i="2" s="1"/>
  <c r="J60" i="2"/>
  <c r="J49" i="2" s="1"/>
  <c r="K60" i="2"/>
  <c r="K49" i="2" s="1"/>
  <c r="L60" i="2"/>
  <c r="L49" i="2" s="1"/>
  <c r="M60" i="2"/>
  <c r="M49" i="2" s="1"/>
  <c r="N60" i="2"/>
  <c r="N49" i="2" s="1"/>
  <c r="O60" i="2"/>
  <c r="O49" i="2" s="1"/>
  <c r="P60" i="2"/>
  <c r="P49" i="2" s="1"/>
  <c r="Q60" i="2"/>
  <c r="Q49" i="2" s="1"/>
  <c r="R60" i="2"/>
  <c r="R49" i="2" s="1"/>
  <c r="S60" i="2"/>
  <c r="S49" i="2" s="1"/>
  <c r="T60" i="2"/>
  <c r="T49" i="2" s="1"/>
  <c r="U60" i="2"/>
  <c r="U49" i="2" s="1"/>
  <c r="V60" i="2"/>
  <c r="V49" i="2" s="1"/>
  <c r="Y60" i="2"/>
  <c r="Y49" i="2" s="1"/>
  <c r="Z60" i="2"/>
  <c r="Z49" i="2" s="1"/>
  <c r="AC60" i="2"/>
  <c r="AC49" i="2" s="1"/>
  <c r="AI60" i="2"/>
  <c r="AI492" i="2"/>
  <c r="AR60" i="2"/>
  <c r="AR49" i="2" s="1"/>
  <c r="E121" i="2"/>
  <c r="E110" i="2" s="1"/>
  <c r="F121" i="2"/>
  <c r="F110" i="2" s="1"/>
  <c r="G121" i="2"/>
  <c r="G110" i="2" s="1"/>
  <c r="I121" i="2"/>
  <c r="I110" i="2" s="1"/>
  <c r="J121" i="2"/>
  <c r="J110" i="2" s="1"/>
  <c r="K121" i="2"/>
  <c r="K110" i="2" s="1"/>
  <c r="L121" i="2"/>
  <c r="L110" i="2" s="1"/>
  <c r="M121" i="2"/>
  <c r="M110" i="2" s="1"/>
  <c r="N121" i="2"/>
  <c r="N110" i="2" s="1"/>
  <c r="O121" i="2"/>
  <c r="O110" i="2" s="1"/>
  <c r="P121" i="2"/>
  <c r="P110" i="2" s="1"/>
  <c r="Q121" i="2"/>
  <c r="Q110" i="2" s="1"/>
  <c r="R121" i="2"/>
  <c r="R110" i="2" s="1"/>
  <c r="S121" i="2"/>
  <c r="S110" i="2" s="1"/>
  <c r="T121" i="2"/>
  <c r="T110" i="2" s="1"/>
  <c r="U121" i="2"/>
  <c r="U110" i="2" s="1"/>
  <c r="V121" i="2"/>
  <c r="V110" i="2" s="1"/>
  <c r="W121" i="2"/>
  <c r="W110" i="2" s="1"/>
  <c r="X121" i="2"/>
  <c r="X110" i="2" s="1"/>
  <c r="Y121" i="2"/>
  <c r="Y110" i="2" s="1"/>
  <c r="Z121" i="2"/>
  <c r="Z110" i="2" s="1"/>
  <c r="AC121" i="2"/>
  <c r="AC110" i="2" s="1"/>
  <c r="E182" i="2"/>
  <c r="E171" i="2" s="1"/>
  <c r="F182" i="2"/>
  <c r="F171" i="2" s="1"/>
  <c r="G182" i="2"/>
  <c r="G171" i="2" s="1"/>
  <c r="I182" i="2"/>
  <c r="I171" i="2" s="1"/>
  <c r="J182" i="2"/>
  <c r="J171" i="2" s="1"/>
  <c r="K182" i="2"/>
  <c r="K171" i="2" s="1"/>
  <c r="L182" i="2"/>
  <c r="L171" i="2" s="1"/>
  <c r="M182" i="2"/>
  <c r="M171" i="2" s="1"/>
  <c r="N182" i="2"/>
  <c r="N171" i="2" s="1"/>
  <c r="O182" i="2"/>
  <c r="O171" i="2" s="1"/>
  <c r="P182" i="2"/>
  <c r="P171" i="2" s="1"/>
  <c r="Q182" i="2"/>
  <c r="Q171" i="2" s="1"/>
  <c r="R182" i="2"/>
  <c r="R171" i="2" s="1"/>
  <c r="S182" i="2"/>
  <c r="S171" i="2" s="1"/>
  <c r="T182" i="2"/>
  <c r="T171" i="2" s="1"/>
  <c r="U182" i="2"/>
  <c r="U171" i="2" s="1"/>
  <c r="V182" i="2"/>
  <c r="V171" i="2" s="1"/>
  <c r="W182" i="2"/>
  <c r="W171" i="2" s="1"/>
  <c r="X182" i="2"/>
  <c r="X171" i="2" s="1"/>
  <c r="Y182" i="2"/>
  <c r="Y171" i="2" s="1"/>
  <c r="Z182" i="2"/>
  <c r="Z171" i="2" s="1"/>
  <c r="AC182" i="2"/>
  <c r="AC171" i="2" s="1"/>
  <c r="AP182" i="2"/>
  <c r="AP171" i="2" s="1"/>
  <c r="BB78" i="2"/>
  <c r="F16" i="1" s="1"/>
  <c r="AA182" i="2"/>
  <c r="AA171" i="2" s="1"/>
  <c r="U13" i="17"/>
  <c r="V28" i="17"/>
  <c r="U67" i="17"/>
  <c r="W67" i="17"/>
  <c r="I13" i="17"/>
  <c r="C13" i="17"/>
  <c r="K67" i="17"/>
  <c r="I67" i="17"/>
  <c r="H67" i="17"/>
  <c r="F67" i="17"/>
  <c r="E67" i="17"/>
  <c r="C67" i="17"/>
  <c r="L2" i="6"/>
  <c r="Q79" i="1"/>
  <c r="Q81" i="1" s="1"/>
  <c r="A78" i="1"/>
  <c r="E8" i="3"/>
  <c r="E9" i="3"/>
  <c r="E10" i="3"/>
  <c r="E11" i="3" s="1"/>
  <c r="E12" i="3" s="1"/>
  <c r="E13" i="3" s="1"/>
  <c r="E14" i="3"/>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3" i="3" s="1"/>
  <c r="A77" i="1"/>
  <c r="A79" i="1"/>
  <c r="A80" i="1"/>
  <c r="A81" i="1"/>
  <c r="R40" i="17"/>
  <c r="R39" i="17"/>
  <c r="R38" i="17"/>
  <c r="R35" i="17"/>
  <c r="R34" i="17"/>
  <c r="A76" i="1"/>
  <c r="A75" i="1"/>
  <c r="A74" i="1"/>
  <c r="A73" i="1"/>
  <c r="A72" i="1"/>
  <c r="M19" i="6"/>
  <c r="D28" i="17"/>
  <c r="A70" i="17"/>
  <c r="J69" i="17"/>
  <c r="G69" i="17"/>
  <c r="D69"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J28" i="17"/>
  <c r="G28" i="17"/>
  <c r="A28" i="17"/>
  <c r="A27" i="17"/>
  <c r="A26" i="17"/>
  <c r="A25" i="17"/>
  <c r="A24" i="17"/>
  <c r="A23" i="17"/>
  <c r="A22" i="17"/>
  <c r="A21" i="17"/>
  <c r="A20" i="17"/>
  <c r="A19" i="17"/>
  <c r="A18" i="17"/>
  <c r="A17" i="17"/>
  <c r="A16" i="17"/>
  <c r="A15" i="17"/>
  <c r="A14" i="17"/>
  <c r="BB101" i="2"/>
  <c r="F39" i="1" s="1"/>
  <c r="AQ492" i="2"/>
  <c r="P13" i="1"/>
  <c r="Q13" i="1" s="1"/>
  <c r="J13" i="1"/>
  <c r="K13" i="1" s="1"/>
  <c r="H13" i="1"/>
  <c r="I13" i="1"/>
  <c r="F13" i="1"/>
  <c r="G13" i="1" s="1"/>
  <c r="D13" i="1"/>
  <c r="C13" i="1"/>
  <c r="E13" i="1" s="1"/>
  <c r="L13" i="6"/>
  <c r="L14" i="6" s="1"/>
  <c r="L15" i="6" s="1"/>
  <c r="L16" i="6" s="1"/>
  <c r="L17" i="6" s="1"/>
  <c r="M18" i="6" s="1"/>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F11" i="14"/>
  <c r="E11" i="14"/>
  <c r="D11" i="14"/>
  <c r="C11" i="14"/>
  <c r="B11" i="14"/>
  <c r="BB28" i="2"/>
  <c r="D27" i="1" s="1"/>
  <c r="A70" i="1"/>
  <c r="A71" i="1"/>
  <c r="A82"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14" i="1"/>
  <c r="A61" i="2"/>
  <c r="A62" i="2"/>
  <c r="A63" i="2"/>
  <c r="A64" i="2"/>
  <c r="A65" i="2"/>
  <c r="A66" i="2"/>
  <c r="A67" i="2"/>
  <c r="G2" i="6"/>
  <c r="A5" i="6"/>
  <c r="L5" i="6" s="1"/>
  <c r="A4" i="6"/>
  <c r="L4" i="6" s="1"/>
  <c r="A2" i="6"/>
  <c r="O19" i="6"/>
  <c r="D11" i="46" s="1"/>
  <c r="B8" i="3"/>
  <c r="C8" i="3" s="1"/>
  <c r="C7" i="3"/>
  <c r="A74" i="6"/>
  <c r="A75" i="6" s="1"/>
  <c r="A76" i="6" s="1"/>
  <c r="A77" i="6" s="1"/>
  <c r="A78" i="6" s="1"/>
  <c r="A79" i="6" s="1"/>
  <c r="A80" i="6" s="1"/>
  <c r="A81" i="6" s="1"/>
  <c r="E347" i="2"/>
  <c r="BB347" i="2" s="1"/>
  <c r="O67" i="44"/>
  <c r="E408" i="2"/>
  <c r="BB408" i="2" s="1"/>
  <c r="Q67" i="44"/>
  <c r="R67" i="44"/>
  <c r="P67" i="44"/>
  <c r="O63" i="1"/>
  <c r="P63" i="1" s="1"/>
  <c r="Q63" i="1" s="1"/>
  <c r="I63" i="17"/>
  <c r="K63" i="17" s="1"/>
  <c r="O60" i="1"/>
  <c r="Q60" i="1"/>
  <c r="I60" i="17"/>
  <c r="K60" i="17" s="1"/>
  <c r="BB40" i="2"/>
  <c r="D39" i="1" s="1"/>
  <c r="BB180" i="2"/>
  <c r="H55" i="1" s="1"/>
  <c r="BB262" i="2"/>
  <c r="L17" i="1" s="1"/>
  <c r="V29" i="2"/>
  <c r="BB361" i="2"/>
  <c r="N53" i="1" s="1"/>
  <c r="O273" i="2"/>
  <c r="O212" i="2"/>
  <c r="BB87" i="2"/>
  <c r="F25" i="1" s="1"/>
  <c r="O90" i="2"/>
  <c r="O29" i="2"/>
  <c r="O151" i="2"/>
  <c r="BB148" i="2"/>
  <c r="H25" i="1" s="1"/>
  <c r="BB17" i="2"/>
  <c r="D16" i="1" s="1"/>
  <c r="G16" i="14"/>
  <c r="AB365" i="2"/>
  <c r="AB485" i="2"/>
  <c r="AB507" i="2" s="1"/>
  <c r="AB325" i="2"/>
  <c r="BB324" i="2"/>
  <c r="BC324" i="2" s="1"/>
  <c r="D385" i="2" s="1"/>
  <c r="AF365" i="2"/>
  <c r="AF426" i="2"/>
  <c r="AF485" i="2"/>
  <c r="AF507" i="2" s="1"/>
  <c r="AF488" i="2"/>
  <c r="AF510" i="2" s="1"/>
  <c r="AE365" i="2"/>
  <c r="BB359" i="2"/>
  <c r="AG365" i="2"/>
  <c r="AG426" i="2"/>
  <c r="BB360" i="2"/>
  <c r="BC360" i="2" s="1"/>
  <c r="D421" i="2" s="1"/>
  <c r="AH426" i="2"/>
  <c r="AH365" i="2"/>
  <c r="BB423" i="2"/>
  <c r="P54" i="1" s="1"/>
  <c r="AE426" i="2"/>
  <c r="CK21" i="44"/>
  <c r="CK23" i="44" s="1"/>
  <c r="CL23" i="44" s="1"/>
  <c r="CL24" i="44" s="1"/>
  <c r="AH488" i="2"/>
  <c r="AH510" i="2" s="1"/>
  <c r="AE488" i="2"/>
  <c r="AE510" i="2" s="1"/>
  <c r="AG485" i="2"/>
  <c r="AG507" i="2" s="1"/>
  <c r="AH485" i="2"/>
  <c r="AH507" i="2" s="1"/>
  <c r="AE485" i="2"/>
  <c r="AE507" i="2" s="1"/>
  <c r="AG488" i="2"/>
  <c r="AG510" i="2" s="1"/>
  <c r="BB362" i="2"/>
  <c r="N54" i="1" s="1"/>
  <c r="CI21" i="44"/>
  <c r="CI23" i="44" s="1"/>
  <c r="Q51" i="17"/>
  <c r="Q58" i="17"/>
  <c r="M51" i="17"/>
  <c r="M58" i="17" s="1"/>
  <c r="M37" i="17"/>
  <c r="N37" i="17"/>
  <c r="O37" i="17"/>
  <c r="M15" i="17"/>
  <c r="M19" i="17" s="1"/>
  <c r="Q37" i="17"/>
  <c r="R37" i="17"/>
  <c r="S37" i="17"/>
  <c r="Q15" i="17"/>
  <c r="S15" i="17" s="1"/>
  <c r="S19" i="17" s="1"/>
  <c r="Q19" i="17"/>
  <c r="BB201" i="2"/>
  <c r="J17" i="1" s="1"/>
  <c r="BB208" i="2"/>
  <c r="J24" i="1" s="1"/>
  <c r="BB210" i="2"/>
  <c r="J26" i="1" s="1"/>
  <c r="AI29" i="2"/>
  <c r="AI45" i="2" s="1"/>
  <c r="BB209" i="2"/>
  <c r="O15" i="17"/>
  <c r="O19" i="17" s="1"/>
  <c r="BB223" i="2"/>
  <c r="J39" i="1" s="1"/>
  <c r="BB284" i="2"/>
  <c r="L39" i="1" s="1"/>
  <c r="AA304" i="2"/>
  <c r="AA293" i="2" s="1"/>
  <c r="AA243" i="2"/>
  <c r="AA232" i="2" s="1"/>
  <c r="AB182" i="2"/>
  <c r="AB171" i="2" s="1"/>
  <c r="AP203" i="2"/>
  <c r="BB162" i="2"/>
  <c r="H39" i="1" s="1"/>
  <c r="Q17" i="1"/>
  <c r="I17" i="17"/>
  <c r="K17" i="17" s="1"/>
  <c r="Q39" i="1"/>
  <c r="I39" i="17" s="1"/>
  <c r="K39" i="17" s="1"/>
  <c r="Q16" i="1"/>
  <c r="I16" i="17" s="1"/>
  <c r="K16" i="17" s="1"/>
  <c r="AR203" i="2"/>
  <c r="AR243" i="2"/>
  <c r="AR232" i="2" s="1"/>
  <c r="BB93" i="2"/>
  <c r="F31" i="1" s="1"/>
  <c r="Q31" i="1"/>
  <c r="I31" i="17"/>
  <c r="K31" i="17"/>
  <c r="Q32" i="1"/>
  <c r="I32" i="17" s="1"/>
  <c r="K32" i="17" s="1"/>
  <c r="H304" i="2"/>
  <c r="H293" i="2" s="1"/>
  <c r="H243" i="2"/>
  <c r="H232" i="2" s="1"/>
  <c r="H182" i="2"/>
  <c r="H171" i="2" s="1"/>
  <c r="H121" i="2"/>
  <c r="H110" i="2" s="1"/>
  <c r="AB243" i="2"/>
  <c r="AB232" i="2" s="1"/>
  <c r="AB304" i="2"/>
  <c r="AB293" i="2" s="1"/>
  <c r="AB203" i="2"/>
  <c r="Q38" i="1"/>
  <c r="I38" i="17"/>
  <c r="K38" i="17" s="1"/>
  <c r="Q37" i="1"/>
  <c r="I37" i="17"/>
  <c r="K37" i="17"/>
  <c r="G81" i="2"/>
  <c r="AP121" i="2"/>
  <c r="AP110" i="2" s="1"/>
  <c r="AP243" i="2"/>
  <c r="AP232" i="2" s="1"/>
  <c r="AP304" i="2"/>
  <c r="AP293" i="2" s="1"/>
  <c r="AB264" i="2"/>
  <c r="D325" i="2"/>
  <c r="Q18" i="1"/>
  <c r="I18" i="17" s="1"/>
  <c r="K18" i="17" s="1"/>
  <c r="O19" i="1"/>
  <c r="Q30" i="1"/>
  <c r="I30" i="17"/>
  <c r="K30" i="17" s="1"/>
  <c r="Q41" i="1"/>
  <c r="I41" i="17"/>
  <c r="Q35" i="1"/>
  <c r="I35" i="17" s="1"/>
  <c r="K35" i="17" s="1"/>
  <c r="Q34" i="1"/>
  <c r="D334" i="2"/>
  <c r="D350" i="2" s="1"/>
  <c r="I34" i="17"/>
  <c r="K34" i="17" s="1"/>
  <c r="CP19" i="44"/>
  <c r="CP20" i="44" s="1"/>
  <c r="J34" i="2"/>
  <c r="Q33" i="1"/>
  <c r="I33" i="17"/>
  <c r="W57" i="2"/>
  <c r="W56" i="2"/>
  <c r="W59" i="2"/>
  <c r="BB59" i="2" s="1"/>
  <c r="W54" i="2"/>
  <c r="MD21" i="44"/>
  <c r="MD18" i="44"/>
  <c r="MD19" i="44"/>
  <c r="W55" i="2"/>
  <c r="MD17" i="44"/>
  <c r="Q53" i="1"/>
  <c r="I53" i="17"/>
  <c r="K53" i="17" s="1"/>
  <c r="W58" i="2"/>
  <c r="BB58" i="2" s="1"/>
  <c r="MD16" i="44"/>
  <c r="Q51" i="1"/>
  <c r="I51" i="17"/>
  <c r="K51" i="17" s="1"/>
  <c r="Q52" i="1"/>
  <c r="I52" i="17"/>
  <c r="K52" i="17" s="1"/>
  <c r="MD20" i="44"/>
  <c r="MB22" i="44"/>
  <c r="O58" i="1"/>
  <c r="D365" i="2"/>
  <c r="D354" i="2" s="1"/>
  <c r="D485" i="2" s="1"/>
  <c r="D507" i="2" s="1"/>
  <c r="CJ21" i="44"/>
  <c r="CL21" i="44"/>
  <c r="CJ24" i="44"/>
  <c r="EX22" i="44"/>
  <c r="EZ22" i="44" s="1"/>
  <c r="FB22" i="44" s="1"/>
  <c r="EX17" i="44"/>
  <c r="EX18" i="44"/>
  <c r="EZ18" i="44" s="1"/>
  <c r="FB18" i="44" s="1"/>
  <c r="EW19" i="44"/>
  <c r="Q36" i="1"/>
  <c r="I36" i="17" s="1"/>
  <c r="Q42" i="1"/>
  <c r="I42" i="17"/>
  <c r="Q40" i="1"/>
  <c r="I40" i="17" s="1"/>
  <c r="K40" i="17" s="1"/>
  <c r="O44" i="1"/>
  <c r="O76" i="1"/>
  <c r="O81" i="1"/>
  <c r="O74" i="1"/>
  <c r="J15" i="17"/>
  <c r="J19" i="17"/>
  <c r="Q76" i="1"/>
  <c r="Q74" i="1"/>
  <c r="B9" i="3"/>
  <c r="B10" i="3"/>
  <c r="C9" i="3"/>
  <c r="PJ39" i="44"/>
  <c r="PL39" i="44" s="1"/>
  <c r="BB270" i="2"/>
  <c r="L25" i="1" s="1"/>
  <c r="NR24" i="44"/>
  <c r="NR26" i="44" s="1"/>
  <c r="DH19" i="44"/>
  <c r="DI19" i="44"/>
  <c r="DI21" i="44" s="1"/>
  <c r="NT24" i="44"/>
  <c r="NV24" i="44"/>
  <c r="NV26" i="44" s="1"/>
  <c r="AB19" i="2"/>
  <c r="PK48" i="44"/>
  <c r="PI48" i="44"/>
  <c r="AB224" i="2" s="1"/>
  <c r="Y40" i="51"/>
  <c r="K13" i="51"/>
  <c r="P17" i="51"/>
  <c r="U17" i="51" s="1"/>
  <c r="Z17" i="51" s="1"/>
  <c r="X2" i="51"/>
  <c r="X1" i="51"/>
  <c r="P13" i="51"/>
  <c r="U13" i="51" s="1"/>
  <c r="Z13" i="51" s="1"/>
  <c r="L20" i="56" l="1"/>
  <c r="N27" i="56"/>
  <c r="J14" i="56"/>
  <c r="K14" i="56"/>
  <c r="X169" i="2"/>
  <c r="W47" i="2"/>
  <c r="E58" i="3"/>
  <c r="E78" i="3"/>
  <c r="C10" i="3"/>
  <c r="H9" i="2" s="1"/>
  <c r="H10" i="3" s="1"/>
  <c r="B11" i="3"/>
  <c r="L18" i="6"/>
  <c r="Q44" i="1"/>
  <c r="BY28" i="45"/>
  <c r="D37" i="54"/>
  <c r="BB269" i="2"/>
  <c r="L24" i="1" s="1"/>
  <c r="BB271" i="2"/>
  <c r="L26" i="1" s="1"/>
  <c r="BB272" i="2"/>
  <c r="L27" i="1" s="1"/>
  <c r="C32" i="56"/>
  <c r="P35" i="51"/>
  <c r="U35" i="51" s="1"/>
  <c r="F9" i="2"/>
  <c r="H8" i="3" s="1"/>
  <c r="O21" i="52"/>
  <c r="J39" i="54"/>
  <c r="G60" i="54"/>
  <c r="G77" i="54" s="1"/>
  <c r="G88" i="54"/>
  <c r="G94" i="54" s="1"/>
  <c r="P19" i="51"/>
  <c r="O36" i="51"/>
  <c r="P36" i="51" s="1"/>
  <c r="U36" i="51" s="1"/>
  <c r="Z36" i="51" s="1"/>
  <c r="AE36" i="51" s="1"/>
  <c r="D36" i="54"/>
  <c r="G9" i="2"/>
  <c r="H9" i="3" s="1"/>
  <c r="G5" i="6"/>
  <c r="G4" i="6"/>
  <c r="E59" i="3"/>
  <c r="E60" i="3" s="1"/>
  <c r="E61" i="3" s="1"/>
  <c r="E62" i="3" s="1"/>
  <c r="E63" i="3" s="1"/>
  <c r="E64" i="3" s="1"/>
  <c r="E65" i="3" s="1"/>
  <c r="E66" i="3" s="1"/>
  <c r="E67" i="3" s="1"/>
  <c r="E68" i="3" s="1"/>
  <c r="E69" i="3" s="1"/>
  <c r="E70" i="3" s="1"/>
  <c r="E71" i="3" s="1"/>
  <c r="E72" i="3" s="1"/>
  <c r="E73" i="3" s="1"/>
  <c r="E74" i="3" s="1"/>
  <c r="E75" i="3" s="1"/>
  <c r="E44" i="3"/>
  <c r="E45" i="3" s="1"/>
  <c r="E46" i="3" s="1"/>
  <c r="E47" i="3" s="1"/>
  <c r="E48" i="3" s="1"/>
  <c r="E49" i="3" s="1"/>
  <c r="E50" i="3" s="1"/>
  <c r="T291" i="2"/>
  <c r="H20" i="56" s="1"/>
  <c r="K42" i="56"/>
  <c r="BP4" i="44"/>
  <c r="N4" i="44"/>
  <c r="AX4" i="44"/>
  <c r="E9" i="2"/>
  <c r="H7" i="3" s="1"/>
  <c r="C36" i="57"/>
  <c r="I34" i="56"/>
  <c r="C34" i="57"/>
  <c r="I33" i="56"/>
  <c r="C33" i="57"/>
  <c r="I31" i="56"/>
  <c r="C32" i="57"/>
  <c r="C36" i="56"/>
  <c r="C31" i="57"/>
  <c r="C34" i="56"/>
  <c r="I37" i="56"/>
  <c r="C33" i="56"/>
  <c r="I36" i="56"/>
  <c r="C31" i="56"/>
  <c r="I35" i="56"/>
  <c r="I32" i="56"/>
  <c r="L39" i="56"/>
  <c r="J39" i="56"/>
  <c r="N39" i="56"/>
  <c r="K39" i="56"/>
  <c r="I39" i="56"/>
  <c r="D39" i="56"/>
  <c r="F39" i="56"/>
  <c r="E39" i="56"/>
  <c r="H39" i="56"/>
  <c r="C39" i="56"/>
  <c r="P169" i="2"/>
  <c r="P475" i="2" s="1"/>
  <c r="P497" i="2" s="1"/>
  <c r="L291" i="2"/>
  <c r="H12" i="56" s="1"/>
  <c r="AR47" i="2"/>
  <c r="AD47" i="2"/>
  <c r="C30" i="56" s="1"/>
  <c r="AC291" i="2"/>
  <c r="H29" i="56" s="1"/>
  <c r="W27" i="52"/>
  <c r="W5" i="52"/>
  <c r="AK108" i="2"/>
  <c r="D37" i="56" s="1"/>
  <c r="Z169" i="2"/>
  <c r="R169" i="2"/>
  <c r="R475" i="2" s="1"/>
  <c r="R497" i="2" s="1"/>
  <c r="X108" i="2"/>
  <c r="D24" i="56" s="1"/>
  <c r="J169" i="2"/>
  <c r="J475" i="2" s="1"/>
  <c r="J497" i="2" s="1"/>
  <c r="U108" i="2"/>
  <c r="U472" i="2" s="1"/>
  <c r="U494" i="2" s="1"/>
  <c r="BO48" i="45"/>
  <c r="L44" i="56"/>
  <c r="K41" i="56"/>
  <c r="J41" i="56"/>
  <c r="I43" i="56"/>
  <c r="I41" i="56"/>
  <c r="N41" i="56"/>
  <c r="L41" i="56"/>
  <c r="E41" i="56"/>
  <c r="C41" i="56"/>
  <c r="D41" i="56"/>
  <c r="F41" i="56"/>
  <c r="H41" i="56"/>
  <c r="I40" i="56"/>
  <c r="E40" i="56"/>
  <c r="D40" i="56"/>
  <c r="H40" i="56"/>
  <c r="AD291" i="2"/>
  <c r="AD481" i="2" s="1"/>
  <c r="AD503" i="2" s="1"/>
  <c r="G230" i="2"/>
  <c r="F7" i="56" s="1"/>
  <c r="Y169" i="2"/>
  <c r="Y475" i="2" s="1"/>
  <c r="Y497" i="2" s="1"/>
  <c r="Q169" i="2"/>
  <c r="E17" i="56" s="1"/>
  <c r="Y476" i="2"/>
  <c r="Y498" i="2" s="1"/>
  <c r="K25" i="56"/>
  <c r="R473" i="2"/>
  <c r="R495" i="2" s="1"/>
  <c r="J18" i="56"/>
  <c r="J473" i="2"/>
  <c r="J495" i="2" s="1"/>
  <c r="J10" i="56"/>
  <c r="AC470" i="2"/>
  <c r="AC492" i="2" s="1"/>
  <c r="I29" i="56"/>
  <c r="N472" i="2"/>
  <c r="N494" i="2" s="1"/>
  <c r="D14" i="56"/>
  <c r="U479" i="2"/>
  <c r="U501" i="2" s="1"/>
  <c r="L21" i="56"/>
  <c r="M479" i="2"/>
  <c r="M501" i="2" s="1"/>
  <c r="L13" i="56"/>
  <c r="AB476" i="2"/>
  <c r="AB498" i="2" s="1"/>
  <c r="K28" i="56"/>
  <c r="I470" i="2"/>
  <c r="I492" i="2" s="1"/>
  <c r="I9" i="56"/>
  <c r="J476" i="2"/>
  <c r="J498" i="2" s="1"/>
  <c r="K10" i="56"/>
  <c r="H470" i="2"/>
  <c r="H492" i="2" s="1"/>
  <c r="I8" i="56"/>
  <c r="W476" i="2"/>
  <c r="W498" i="2" s="1"/>
  <c r="K23" i="56"/>
  <c r="O476" i="2"/>
  <c r="O498" i="2" s="1"/>
  <c r="K15" i="56"/>
  <c r="I476" i="2"/>
  <c r="I498" i="2" s="1"/>
  <c r="K9" i="56"/>
  <c r="X473" i="2"/>
  <c r="X495" i="2" s="1"/>
  <c r="J24" i="56"/>
  <c r="P473" i="2"/>
  <c r="P495" i="2" s="1"/>
  <c r="J16" i="56"/>
  <c r="G473" i="2"/>
  <c r="G495" i="2" s="1"/>
  <c r="J7" i="56"/>
  <c r="Y470" i="2"/>
  <c r="Y492" i="2" s="1"/>
  <c r="I25" i="56"/>
  <c r="O470" i="2"/>
  <c r="O492" i="2" s="1"/>
  <c r="I15" i="56"/>
  <c r="G470" i="2"/>
  <c r="G492" i="2" s="1"/>
  <c r="I7" i="56"/>
  <c r="Z475" i="2"/>
  <c r="Z497" i="2" s="1"/>
  <c r="E26" i="56"/>
  <c r="AC479" i="2"/>
  <c r="AC501" i="2" s="1"/>
  <c r="L29" i="56"/>
  <c r="S479" i="2"/>
  <c r="S501" i="2" s="1"/>
  <c r="L19" i="56"/>
  <c r="K479" i="2"/>
  <c r="K501" i="2" s="1"/>
  <c r="L11" i="56"/>
  <c r="AK476" i="2"/>
  <c r="AK498" i="2" s="1"/>
  <c r="K37" i="56"/>
  <c r="K476" i="2"/>
  <c r="K498" i="2" s="1"/>
  <c r="K11" i="56"/>
  <c r="X476" i="2"/>
  <c r="X498" i="2" s="1"/>
  <c r="K24" i="56"/>
  <c r="I473" i="2"/>
  <c r="I495" i="2" s="1"/>
  <c r="J9" i="56"/>
  <c r="AA476" i="2"/>
  <c r="AA498" i="2" s="1"/>
  <c r="K27" i="56"/>
  <c r="V476" i="2"/>
  <c r="V498" i="2" s="1"/>
  <c r="K22" i="56"/>
  <c r="G476" i="2"/>
  <c r="G498" i="2" s="1"/>
  <c r="K7" i="56"/>
  <c r="W473" i="2"/>
  <c r="W495" i="2" s="1"/>
  <c r="J23" i="56"/>
  <c r="O473" i="2"/>
  <c r="O495" i="2" s="1"/>
  <c r="J15" i="56"/>
  <c r="F473" i="2"/>
  <c r="F495" i="2" s="1"/>
  <c r="J6" i="56"/>
  <c r="V470" i="2"/>
  <c r="V492" i="2" s="1"/>
  <c r="I22" i="56"/>
  <c r="N470" i="2"/>
  <c r="N492" i="2" s="1"/>
  <c r="I14" i="56"/>
  <c r="F470" i="2"/>
  <c r="F492" i="2" s="1"/>
  <c r="I6" i="56"/>
  <c r="W469" i="2"/>
  <c r="W491" i="2" s="1"/>
  <c r="C23" i="56"/>
  <c r="Z479" i="2"/>
  <c r="Z501" i="2" s="1"/>
  <c r="L26" i="56"/>
  <c r="R479" i="2"/>
  <c r="R501" i="2" s="1"/>
  <c r="L18" i="56"/>
  <c r="J479" i="2"/>
  <c r="J501" i="2" s="1"/>
  <c r="L10" i="56"/>
  <c r="Z473" i="2"/>
  <c r="Z495" i="2" s="1"/>
  <c r="J26" i="56"/>
  <c r="AA479" i="2"/>
  <c r="AA501" i="2" s="1"/>
  <c r="L27" i="56"/>
  <c r="P476" i="2"/>
  <c r="P498" i="2" s="1"/>
  <c r="K16" i="56"/>
  <c r="Z470" i="2"/>
  <c r="Z492" i="2" s="1"/>
  <c r="I26" i="56"/>
  <c r="AP479" i="2"/>
  <c r="AP501" i="2" s="1"/>
  <c r="L42" i="56"/>
  <c r="U476" i="2"/>
  <c r="U498" i="2" s="1"/>
  <c r="K21" i="56"/>
  <c r="M476" i="2"/>
  <c r="M498" i="2" s="1"/>
  <c r="K13" i="56"/>
  <c r="F476" i="2"/>
  <c r="F498" i="2" s="1"/>
  <c r="K6" i="56"/>
  <c r="V473" i="2"/>
  <c r="V495" i="2" s="1"/>
  <c r="J22" i="56"/>
  <c r="E473" i="2"/>
  <c r="E495" i="2" s="1"/>
  <c r="J5" i="56"/>
  <c r="U470" i="2"/>
  <c r="U492" i="2" s="1"/>
  <c r="I21" i="56"/>
  <c r="M470" i="2"/>
  <c r="M492" i="2" s="1"/>
  <c r="I13" i="56"/>
  <c r="E470" i="2"/>
  <c r="E492" i="2" s="1"/>
  <c r="I5" i="56"/>
  <c r="X475" i="2"/>
  <c r="X497" i="2" s="1"/>
  <c r="E24" i="56"/>
  <c r="Y479" i="2"/>
  <c r="Y501" i="2" s="1"/>
  <c r="L25" i="56"/>
  <c r="Q479" i="2"/>
  <c r="Q501" i="2" s="1"/>
  <c r="L17" i="56"/>
  <c r="I479" i="2"/>
  <c r="I501" i="2" s="1"/>
  <c r="L9" i="56"/>
  <c r="Q470" i="2"/>
  <c r="Q492" i="2" s="1"/>
  <c r="I17" i="56"/>
  <c r="Q473" i="2"/>
  <c r="Q495" i="2" s="1"/>
  <c r="J17" i="56"/>
  <c r="T476" i="2"/>
  <c r="T498" i="2" s="1"/>
  <c r="K20" i="56"/>
  <c r="E476" i="2"/>
  <c r="E498" i="2" s="1"/>
  <c r="K5" i="56"/>
  <c r="U473" i="2"/>
  <c r="U495" i="2" s="1"/>
  <c r="J21" i="56"/>
  <c r="M473" i="2"/>
  <c r="M495" i="2" s="1"/>
  <c r="J13" i="56"/>
  <c r="T470" i="2"/>
  <c r="T492" i="2" s="1"/>
  <c r="I20" i="56"/>
  <c r="L470" i="2"/>
  <c r="L492" i="2" s="1"/>
  <c r="I12" i="56"/>
  <c r="X479" i="2"/>
  <c r="X501" i="2" s="1"/>
  <c r="L24" i="56"/>
  <c r="P479" i="2"/>
  <c r="P501" i="2" s="1"/>
  <c r="L16" i="56"/>
  <c r="G479" i="2"/>
  <c r="G501" i="2" s="1"/>
  <c r="L7" i="56"/>
  <c r="G291" i="2"/>
  <c r="H7" i="56" s="1"/>
  <c r="AA291" i="2"/>
  <c r="AA314" i="2" s="1"/>
  <c r="AD470" i="2"/>
  <c r="AD492" i="2" s="1"/>
  <c r="I30" i="56"/>
  <c r="AK479" i="2"/>
  <c r="AK501" i="2" s="1"/>
  <c r="L37" i="56"/>
  <c r="AC476" i="2"/>
  <c r="AC498" i="2" s="1"/>
  <c r="K29" i="56"/>
  <c r="AC473" i="2"/>
  <c r="AC495" i="2" s="1"/>
  <c r="J29" i="56"/>
  <c r="K470" i="2"/>
  <c r="K492" i="2" s="1"/>
  <c r="I11" i="56"/>
  <c r="W479" i="2"/>
  <c r="W501" i="2" s="1"/>
  <c r="L23" i="56"/>
  <c r="O479" i="2"/>
  <c r="O501" i="2" s="1"/>
  <c r="L15" i="56"/>
  <c r="F479" i="2"/>
  <c r="F501" i="2" s="1"/>
  <c r="L6" i="56"/>
  <c r="AC230" i="2"/>
  <c r="F29" i="56" s="1"/>
  <c r="L230" i="2"/>
  <c r="Q476" i="2"/>
  <c r="Q498" i="2" s="1"/>
  <c r="K17" i="56"/>
  <c r="Y473" i="2"/>
  <c r="Y495" i="2" s="1"/>
  <c r="J25" i="56"/>
  <c r="P470" i="2"/>
  <c r="P492" i="2" s="1"/>
  <c r="I16" i="56"/>
  <c r="L479" i="2"/>
  <c r="L501" i="2" s="1"/>
  <c r="L12" i="56"/>
  <c r="AI47" i="2"/>
  <c r="C35" i="56" s="1"/>
  <c r="S476" i="2"/>
  <c r="S498" i="2" s="1"/>
  <c r="K19" i="56"/>
  <c r="L476" i="2"/>
  <c r="L498" i="2" s="1"/>
  <c r="K12" i="56"/>
  <c r="T473" i="2"/>
  <c r="T495" i="2" s="1"/>
  <c r="J20" i="56"/>
  <c r="L473" i="2"/>
  <c r="L495" i="2" s="1"/>
  <c r="J12" i="56"/>
  <c r="S470" i="2"/>
  <c r="S492" i="2" s="1"/>
  <c r="I19" i="56"/>
  <c r="BC346" i="2"/>
  <c r="D407" i="2" s="1"/>
  <c r="BC407" i="2" s="1"/>
  <c r="AB479" i="2"/>
  <c r="AB501" i="2" s="1"/>
  <c r="L28" i="56"/>
  <c r="Z476" i="2"/>
  <c r="Z498" i="2" s="1"/>
  <c r="K26" i="56"/>
  <c r="R476" i="2"/>
  <c r="R498" i="2" s="1"/>
  <c r="K18" i="56"/>
  <c r="S473" i="2"/>
  <c r="S495" i="2" s="1"/>
  <c r="J19" i="56"/>
  <c r="K473" i="2"/>
  <c r="K495" i="2" s="1"/>
  <c r="J11" i="56"/>
  <c r="R470" i="2"/>
  <c r="R492" i="2" s="1"/>
  <c r="I18" i="56"/>
  <c r="J470" i="2"/>
  <c r="J492" i="2" s="1"/>
  <c r="I10" i="56"/>
  <c r="V479" i="2"/>
  <c r="V501" i="2" s="1"/>
  <c r="L22" i="56"/>
  <c r="N479" i="2"/>
  <c r="N501" i="2" s="1"/>
  <c r="L14" i="56"/>
  <c r="E479" i="2"/>
  <c r="E501" i="2" s="1"/>
  <c r="L5" i="56"/>
  <c r="T230" i="2"/>
  <c r="T253" i="2" s="1"/>
  <c r="AK473" i="2"/>
  <c r="AK495" i="2" s="1"/>
  <c r="J37" i="56"/>
  <c r="N16" i="52"/>
  <c r="O16" i="52" s="1"/>
  <c r="E51" i="52"/>
  <c r="E6" i="52" s="1"/>
  <c r="Z34" i="52"/>
  <c r="AE34" i="52" s="1"/>
  <c r="O41" i="52"/>
  <c r="T41" i="52" s="1"/>
  <c r="Z41" i="52" s="1"/>
  <c r="AE41" i="52" s="1"/>
  <c r="O35" i="52"/>
  <c r="T35" i="52" s="1"/>
  <c r="Z35" i="52" s="1"/>
  <c r="O43" i="52"/>
  <c r="M51" i="52"/>
  <c r="M6" i="52" s="1"/>
  <c r="O38" i="52"/>
  <c r="T38" i="52" s="1"/>
  <c r="Z38" i="52" s="1"/>
  <c r="AE38" i="52" s="1"/>
  <c r="BM46" i="45"/>
  <c r="BM48" i="45"/>
  <c r="AP226" i="58" s="1"/>
  <c r="AP228" i="58" s="1"/>
  <c r="AP230" i="58" s="1"/>
  <c r="BI41" i="45"/>
  <c r="AK29" i="2"/>
  <c r="CI28" i="45"/>
  <c r="CJ28" i="45"/>
  <c r="J42" i="56"/>
  <c r="I44" i="56"/>
  <c r="Z482" i="2"/>
  <c r="Z504" i="2" s="1"/>
  <c r="N26" i="56"/>
  <c r="R482" i="2"/>
  <c r="R504" i="2" s="1"/>
  <c r="N18" i="56"/>
  <c r="J482" i="2"/>
  <c r="J504" i="2" s="1"/>
  <c r="N10" i="56"/>
  <c r="AK482" i="2"/>
  <c r="AK504" i="2" s="1"/>
  <c r="N37" i="56"/>
  <c r="AB482" i="2"/>
  <c r="AB504" i="2" s="1"/>
  <c r="N28" i="56"/>
  <c r="Y482" i="2"/>
  <c r="Y504" i="2" s="1"/>
  <c r="N25" i="56"/>
  <c r="Q482" i="2"/>
  <c r="Q504" i="2" s="1"/>
  <c r="N17" i="56"/>
  <c r="I482" i="2"/>
  <c r="I504" i="2" s="1"/>
  <c r="N9" i="56"/>
  <c r="X482" i="2"/>
  <c r="X504" i="2" s="1"/>
  <c r="N24" i="56"/>
  <c r="P482" i="2"/>
  <c r="P504" i="2" s="1"/>
  <c r="N16" i="56"/>
  <c r="G482" i="2"/>
  <c r="G504" i="2" s="1"/>
  <c r="N7" i="56"/>
  <c r="W482" i="2"/>
  <c r="W504" i="2" s="1"/>
  <c r="N23" i="56"/>
  <c r="O482" i="2"/>
  <c r="O504" i="2" s="1"/>
  <c r="N15" i="56"/>
  <c r="F482" i="2"/>
  <c r="F504" i="2" s="1"/>
  <c r="N6" i="56"/>
  <c r="V482" i="2"/>
  <c r="V504" i="2" s="1"/>
  <c r="N22" i="56"/>
  <c r="N482" i="2"/>
  <c r="N504" i="2" s="1"/>
  <c r="N14" i="56"/>
  <c r="E482" i="2"/>
  <c r="E504" i="2" s="1"/>
  <c r="N5" i="56"/>
  <c r="U482" i="2"/>
  <c r="U504" i="2" s="1"/>
  <c r="N21" i="56"/>
  <c r="M482" i="2"/>
  <c r="M504" i="2" s="1"/>
  <c r="N13" i="56"/>
  <c r="AP482" i="2"/>
  <c r="AP504" i="2" s="1"/>
  <c r="N42" i="56"/>
  <c r="H482" i="2"/>
  <c r="H504" i="2" s="1"/>
  <c r="N8" i="56"/>
  <c r="T482" i="2"/>
  <c r="T504" i="2" s="1"/>
  <c r="N20" i="56"/>
  <c r="L482" i="2"/>
  <c r="L504" i="2" s="1"/>
  <c r="N12" i="56"/>
  <c r="AC482" i="2"/>
  <c r="AC504" i="2" s="1"/>
  <c r="N29" i="56"/>
  <c r="S482" i="2"/>
  <c r="S504" i="2" s="1"/>
  <c r="N19" i="56"/>
  <c r="K482" i="2"/>
  <c r="K504" i="2" s="1"/>
  <c r="N11" i="56"/>
  <c r="H476" i="2"/>
  <c r="H498" i="2" s="1"/>
  <c r="K8" i="56"/>
  <c r="H473" i="2"/>
  <c r="H495" i="2" s="1"/>
  <c r="J8" i="56"/>
  <c r="H479" i="2"/>
  <c r="H501" i="2" s="1"/>
  <c r="L8" i="56"/>
  <c r="N55" i="1"/>
  <c r="M291" i="2"/>
  <c r="U291" i="2"/>
  <c r="U314" i="2" s="1"/>
  <c r="AR20" i="44"/>
  <c r="H56" i="44"/>
  <c r="O56" i="44"/>
  <c r="LJ32" i="44"/>
  <c r="LJ33" i="44" s="1"/>
  <c r="M5" i="52"/>
  <c r="M4" i="52" s="1"/>
  <c r="O33" i="52"/>
  <c r="AL102" i="2"/>
  <c r="UW26" i="44"/>
  <c r="AL163" i="2"/>
  <c r="UY26" i="44"/>
  <c r="AL165" i="2" s="1"/>
  <c r="UZ26" i="44"/>
  <c r="UZ27" i="44" s="1"/>
  <c r="AD32" i="51"/>
  <c r="I45" i="54"/>
  <c r="T33" i="51"/>
  <c r="I44" i="54"/>
  <c r="J44" i="54" s="1"/>
  <c r="O32" i="51"/>
  <c r="P32" i="51" s="1"/>
  <c r="I41" i="54"/>
  <c r="L47" i="51"/>
  <c r="L6" i="51" s="1"/>
  <c r="Q2" i="51"/>
  <c r="J38" i="51"/>
  <c r="K38" i="51" s="1"/>
  <c r="E32" i="54"/>
  <c r="AE17" i="51"/>
  <c r="Q1" i="51"/>
  <c r="J12" i="54"/>
  <c r="W23" i="44"/>
  <c r="J44" i="51"/>
  <c r="K44" i="51" s="1"/>
  <c r="E14" i="54"/>
  <c r="ND17" i="44"/>
  <c r="NF17" i="44" s="1"/>
  <c r="NF18" i="44" s="1"/>
  <c r="B68" i="14"/>
  <c r="IE20" i="44"/>
  <c r="R35" i="2"/>
  <c r="IG20" i="44"/>
  <c r="R98" i="2"/>
  <c r="BX28" i="45"/>
  <c r="BI33" i="45"/>
  <c r="BK33" i="45"/>
  <c r="CL28" i="45"/>
  <c r="CI47" i="45"/>
  <c r="CK27" i="45"/>
  <c r="BO33" i="45"/>
  <c r="CK22" i="45"/>
  <c r="H4" i="45"/>
  <c r="AQ60" i="2"/>
  <c r="AR479" i="2"/>
  <c r="AR501" i="2" s="1"/>
  <c r="AR470" i="2"/>
  <c r="AR492" i="2" s="1"/>
  <c r="K108" i="2"/>
  <c r="Z108" i="2"/>
  <c r="N230" i="2"/>
  <c r="N253" i="2" s="1"/>
  <c r="V230" i="2"/>
  <c r="M230" i="2"/>
  <c r="M253" i="2" s="1"/>
  <c r="F230" i="2"/>
  <c r="AC169" i="2"/>
  <c r="U169" i="2"/>
  <c r="U192" i="2" s="1"/>
  <c r="U230" i="2"/>
  <c r="AB291" i="2"/>
  <c r="T108" i="2"/>
  <c r="Z47" i="2"/>
  <c r="AI352" i="2"/>
  <c r="AI375" i="2" s="1"/>
  <c r="BC11" i="2"/>
  <c r="AD108" i="2"/>
  <c r="N169" i="2"/>
  <c r="V169" i="2"/>
  <c r="F169" i="2"/>
  <c r="AA230" i="2"/>
  <c r="S230" i="2"/>
  <c r="K230" i="2"/>
  <c r="Y291" i="2"/>
  <c r="Q291" i="2"/>
  <c r="D352" i="2"/>
  <c r="D484" i="2" s="1"/>
  <c r="D506" i="2" s="1"/>
  <c r="W169" i="2"/>
  <c r="L108" i="2"/>
  <c r="L169" i="2"/>
  <c r="R230" i="2"/>
  <c r="X291" i="2"/>
  <c r="P230" i="2"/>
  <c r="AB169" i="2"/>
  <c r="T169" i="2"/>
  <c r="AC108" i="2"/>
  <c r="J108" i="2"/>
  <c r="D10" i="56" s="1"/>
  <c r="N291" i="2"/>
  <c r="G169" i="2"/>
  <c r="G192" i="2" s="1"/>
  <c r="BC343" i="2"/>
  <c r="D404" i="2" s="1"/>
  <c r="BC404" i="2" s="1"/>
  <c r="V108" i="2"/>
  <c r="V291" i="2"/>
  <c r="F291" i="2"/>
  <c r="AK291" i="2"/>
  <c r="H37" i="56" s="1"/>
  <c r="AK169" i="2"/>
  <c r="E37" i="56" s="1"/>
  <c r="S289" i="2"/>
  <c r="S291" i="2" s="1"/>
  <c r="PE50" i="44"/>
  <c r="PE52" i="44" s="1"/>
  <c r="AB104" i="2" s="1"/>
  <c r="AB106" i="2" s="1"/>
  <c r="AB108" i="2" s="1"/>
  <c r="PG50" i="44"/>
  <c r="PG52" i="44" s="1"/>
  <c r="PI50" i="44"/>
  <c r="PK50" i="44"/>
  <c r="PK52" i="44" s="1"/>
  <c r="PK53" i="44" s="1"/>
  <c r="G5" i="52"/>
  <c r="UB27" i="44"/>
  <c r="UB34" i="44" s="1"/>
  <c r="AK41" i="2" s="1"/>
  <c r="UA34" i="44"/>
  <c r="BJ38" i="45"/>
  <c r="AP43" i="2"/>
  <c r="N1" i="51"/>
  <c r="N4" i="51"/>
  <c r="N2" i="51"/>
  <c r="U29" i="51"/>
  <c r="Z29" i="51" s="1"/>
  <c r="AE29" i="51" s="1"/>
  <c r="J40" i="51"/>
  <c r="K40" i="51" s="1"/>
  <c r="P40" i="51" s="1"/>
  <c r="U40" i="51" s="1"/>
  <c r="Z40" i="51" s="1"/>
  <c r="AE40" i="51" s="1"/>
  <c r="P20" i="51"/>
  <c r="U20" i="51" s="1"/>
  <c r="Z20" i="51" s="1"/>
  <c r="AE20" i="51" s="1"/>
  <c r="U24" i="51"/>
  <c r="Z24" i="51" s="1"/>
  <c r="AE24" i="51" s="1"/>
  <c r="J43" i="51"/>
  <c r="K43" i="51" s="1"/>
  <c r="P43" i="51" s="1"/>
  <c r="U43" i="51" s="1"/>
  <c r="Z43" i="51" s="1"/>
  <c r="AE43" i="51" s="1"/>
  <c r="J45" i="51"/>
  <c r="K45" i="51" s="1"/>
  <c r="P45" i="51" s="1"/>
  <c r="U45" i="51" s="1"/>
  <c r="Z45" i="51" s="1"/>
  <c r="AE45" i="51" s="1"/>
  <c r="Z16" i="51"/>
  <c r="AE16" i="51" s="1"/>
  <c r="F47" i="51"/>
  <c r="F6" i="51" s="1"/>
  <c r="F2" i="51" s="1"/>
  <c r="U31" i="51"/>
  <c r="Z31" i="51" s="1"/>
  <c r="G47" i="51"/>
  <c r="G6" i="51" s="1"/>
  <c r="G2" i="51" s="1"/>
  <c r="P42" i="51"/>
  <c r="U42" i="51" s="1"/>
  <c r="Z42" i="51" s="1"/>
  <c r="AE42" i="51" s="1"/>
  <c r="H2" i="52"/>
  <c r="M2" i="52"/>
  <c r="BF33" i="45"/>
  <c r="BJ22" i="45"/>
  <c r="BL19" i="45"/>
  <c r="BH22" i="45"/>
  <c r="IW22" i="44"/>
  <c r="S43" i="2"/>
  <c r="S45" i="2" s="1"/>
  <c r="S47" i="2" s="1"/>
  <c r="CF20" i="44"/>
  <c r="AR230" i="2"/>
  <c r="AD426" i="2"/>
  <c r="AP169" i="2"/>
  <c r="AK230" i="2"/>
  <c r="F37" i="56" s="1"/>
  <c r="F108" i="2"/>
  <c r="Y230" i="2"/>
  <c r="X230" i="2"/>
  <c r="Q230" i="2"/>
  <c r="K291" i="2"/>
  <c r="R291" i="2"/>
  <c r="AA169" i="2"/>
  <c r="E27" i="56" s="1"/>
  <c r="AP352" i="2"/>
  <c r="AP375" i="2" s="1"/>
  <c r="S352" i="2"/>
  <c r="S375" i="2" s="1"/>
  <c r="J413" i="2"/>
  <c r="J487" i="2" s="1"/>
  <c r="J509" i="2" s="1"/>
  <c r="O36" i="52"/>
  <c r="T36" i="52" s="1"/>
  <c r="Z36" i="52" s="1"/>
  <c r="AE36" i="52" s="1"/>
  <c r="O23" i="52"/>
  <c r="T23" i="52" s="1"/>
  <c r="Z23" i="52" s="1"/>
  <c r="AE23" i="52" s="1"/>
  <c r="O20" i="52"/>
  <c r="T20" i="52" s="1"/>
  <c r="Z20" i="52" s="1"/>
  <c r="AE20" i="52" s="1"/>
  <c r="O39" i="52"/>
  <c r="T39" i="52" s="1"/>
  <c r="Z39" i="52" s="1"/>
  <c r="AE39" i="52" s="1"/>
  <c r="O48" i="52"/>
  <c r="T48" i="52" s="1"/>
  <c r="Z48" i="52" s="1"/>
  <c r="AE48" i="52" s="1"/>
  <c r="O31" i="52"/>
  <c r="O24" i="52"/>
  <c r="T24" i="52" s="1"/>
  <c r="Z24" i="52" s="1"/>
  <c r="AE24" i="52" s="1"/>
  <c r="I27" i="52"/>
  <c r="J27" i="52" s="1"/>
  <c r="O27" i="52" s="1"/>
  <c r="T27" i="52" s="1"/>
  <c r="O44" i="52"/>
  <c r="T44" i="52" s="1"/>
  <c r="Z44" i="52" s="1"/>
  <c r="AE44" i="52" s="1"/>
  <c r="O47" i="52"/>
  <c r="T47" i="52" s="1"/>
  <c r="Z47" i="52" s="1"/>
  <c r="AE47" i="52" s="1"/>
  <c r="O50" i="52"/>
  <c r="T50" i="52" s="1"/>
  <c r="Z50" i="52" s="1"/>
  <c r="AE50" i="52" s="1"/>
  <c r="H1" i="52"/>
  <c r="O12" i="52"/>
  <c r="T12" i="52" s="1"/>
  <c r="O37" i="52"/>
  <c r="T37" i="52" s="1"/>
  <c r="Z37" i="52" s="1"/>
  <c r="AE37" i="52" s="1"/>
  <c r="O40" i="52"/>
  <c r="T40" i="52" s="1"/>
  <c r="Z40" i="52" s="1"/>
  <c r="AE40" i="52" s="1"/>
  <c r="O46" i="52"/>
  <c r="T46" i="52" s="1"/>
  <c r="Z46" i="52" s="1"/>
  <c r="AE46" i="52" s="1"/>
  <c r="O49" i="52"/>
  <c r="T49" i="52" s="1"/>
  <c r="Z49" i="52" s="1"/>
  <c r="AE49" i="52" s="1"/>
  <c r="O45" i="52"/>
  <c r="T45" i="52" s="1"/>
  <c r="Z45" i="52" s="1"/>
  <c r="AE45" i="52" s="1"/>
  <c r="M1" i="52"/>
  <c r="O32" i="52"/>
  <c r="T32" i="52" s="1"/>
  <c r="Z32" i="52" s="1"/>
  <c r="AE32" i="52" s="1"/>
  <c r="O42" i="52"/>
  <c r="T42" i="52" s="1"/>
  <c r="Z42" i="52" s="1"/>
  <c r="AE42" i="52" s="1"/>
  <c r="D1" i="52"/>
  <c r="D2" i="52"/>
  <c r="E2" i="52"/>
  <c r="E1" i="52"/>
  <c r="T33" i="52"/>
  <c r="Z33" i="52" s="1"/>
  <c r="AE33" i="52" s="1"/>
  <c r="T43" i="52"/>
  <c r="Z43" i="52" s="1"/>
  <c r="AE43" i="52" s="1"/>
  <c r="O30" i="52"/>
  <c r="T30" i="52" s="1"/>
  <c r="Z30" i="52" s="1"/>
  <c r="AE30" i="52" s="1"/>
  <c r="O14" i="52"/>
  <c r="T14" i="52" s="1"/>
  <c r="Z14" i="52" s="1"/>
  <c r="AE14" i="52" s="1"/>
  <c r="O19" i="52"/>
  <c r="T19" i="52" s="1"/>
  <c r="Z19" i="52" s="1"/>
  <c r="O22" i="52"/>
  <c r="T22" i="52" s="1"/>
  <c r="BC361" i="2"/>
  <c r="D422" i="2" s="1"/>
  <c r="BC422" i="2" s="1"/>
  <c r="BC341" i="2"/>
  <c r="D402" i="2" s="1"/>
  <c r="BC402" i="2" s="1"/>
  <c r="BC383" i="2"/>
  <c r="NS29" i="44"/>
  <c r="BC421" i="2"/>
  <c r="BC403" i="2"/>
  <c r="AP473" i="2"/>
  <c r="AP495" i="2" s="1"/>
  <c r="S169" i="2"/>
  <c r="P108" i="2"/>
  <c r="BC385" i="2"/>
  <c r="M169" i="2"/>
  <c r="W230" i="2"/>
  <c r="W291" i="2"/>
  <c r="BC337" i="2"/>
  <c r="D398" i="2" s="1"/>
  <c r="BC398" i="2" s="1"/>
  <c r="N30" i="1"/>
  <c r="AA352" i="2"/>
  <c r="AA375" i="2" s="1"/>
  <c r="AD169" i="2"/>
  <c r="K169" i="2"/>
  <c r="Y108" i="2"/>
  <c r="S108" i="2"/>
  <c r="J230" i="2"/>
  <c r="J291" i="2"/>
  <c r="BB90" i="2"/>
  <c r="AP291" i="2"/>
  <c r="P291" i="2"/>
  <c r="S413" i="2"/>
  <c r="S436" i="2" s="1"/>
  <c r="AR413" i="2"/>
  <c r="AR487" i="2" s="1"/>
  <c r="AR509" i="2" s="1"/>
  <c r="AD230" i="2"/>
  <c r="W108" i="2"/>
  <c r="F352" i="2"/>
  <c r="F375" i="2" s="1"/>
  <c r="V352" i="2"/>
  <c r="V484" i="2" s="1"/>
  <c r="V506" i="2" s="1"/>
  <c r="AF352" i="2"/>
  <c r="AF375" i="2" s="1"/>
  <c r="BC393" i="2"/>
  <c r="Y413" i="2"/>
  <c r="Y487" i="2" s="1"/>
  <c r="Y509" i="2" s="1"/>
  <c r="BC349" i="2"/>
  <c r="D410" i="2" s="1"/>
  <c r="BC410" i="2" s="1"/>
  <c r="Q108" i="2"/>
  <c r="Z35" i="51"/>
  <c r="AE35" i="51" s="1"/>
  <c r="U37" i="51"/>
  <c r="Z37" i="51" s="1"/>
  <c r="AE37" i="51" s="1"/>
  <c r="P18" i="51"/>
  <c r="U18" i="51" s="1"/>
  <c r="Z18" i="51" s="1"/>
  <c r="AE18" i="51" s="1"/>
  <c r="U30" i="51"/>
  <c r="Z30" i="51" s="1"/>
  <c r="AE30" i="51" s="1"/>
  <c r="P22" i="51"/>
  <c r="U22" i="51" s="1"/>
  <c r="Z22" i="51" s="1"/>
  <c r="AE22" i="51" s="1"/>
  <c r="U41" i="51"/>
  <c r="Z41" i="51" s="1"/>
  <c r="AE41" i="51" s="1"/>
  <c r="P26" i="51"/>
  <c r="U26" i="51" s="1"/>
  <c r="Z26" i="51" s="1"/>
  <c r="AE26" i="51" s="1"/>
  <c r="P12" i="51"/>
  <c r="U12" i="51" s="1"/>
  <c r="Z12" i="51" s="1"/>
  <c r="AE12" i="51" s="1"/>
  <c r="AE13" i="51"/>
  <c r="U28" i="51"/>
  <c r="Z28" i="51" s="1"/>
  <c r="AE28" i="51" s="1"/>
  <c r="Z15" i="51"/>
  <c r="AE15" i="51" s="1"/>
  <c r="U19" i="51"/>
  <c r="Z19" i="51" s="1"/>
  <c r="AE19" i="51" s="1"/>
  <c r="P44" i="51"/>
  <c r="U44" i="51" s="1"/>
  <c r="Z44" i="51" s="1"/>
  <c r="AE44" i="51" s="1"/>
  <c r="U25" i="51"/>
  <c r="Z25" i="51" s="1"/>
  <c r="AE25" i="51" s="1"/>
  <c r="N473" i="2"/>
  <c r="N495" i="2" s="1"/>
  <c r="N131" i="2"/>
  <c r="AP476" i="2"/>
  <c r="AP498" i="2" s="1"/>
  <c r="N476" i="2"/>
  <c r="N498" i="2" s="1"/>
  <c r="T481" i="2"/>
  <c r="T503" i="2" s="1"/>
  <c r="T314" i="2"/>
  <c r="AA482" i="2"/>
  <c r="AA504" i="2" s="1"/>
  <c r="T479" i="2"/>
  <c r="T501" i="2" s="1"/>
  <c r="Z352" i="2"/>
  <c r="Z484" i="2" s="1"/>
  <c r="Z506" i="2" s="1"/>
  <c r="G352" i="2"/>
  <c r="G484" i="2" s="1"/>
  <c r="G506" i="2" s="1"/>
  <c r="AD70" i="2"/>
  <c r="AD469" i="2"/>
  <c r="AD491" i="2" s="1"/>
  <c r="T413" i="2"/>
  <c r="T436" i="2" s="1"/>
  <c r="AR352" i="2"/>
  <c r="AR484" i="2" s="1"/>
  <c r="AR506" i="2" s="1"/>
  <c r="G413" i="2"/>
  <c r="G436" i="2" s="1"/>
  <c r="AB413" i="2"/>
  <c r="AB487" i="2" s="1"/>
  <c r="AB509" i="2" s="1"/>
  <c r="AQ413" i="2"/>
  <c r="AQ487" i="2" s="1"/>
  <c r="AQ509" i="2" s="1"/>
  <c r="N52" i="1"/>
  <c r="K352" i="2"/>
  <c r="K375" i="2" s="1"/>
  <c r="AC413" i="2"/>
  <c r="AC487" i="2" s="1"/>
  <c r="AC509" i="2" s="1"/>
  <c r="AF469" i="2"/>
  <c r="AF491" i="2" s="1"/>
  <c r="AF70" i="2"/>
  <c r="AC47" i="2"/>
  <c r="N352" i="2"/>
  <c r="N484" i="2" s="1"/>
  <c r="N506" i="2" s="1"/>
  <c r="AI413" i="2"/>
  <c r="AI436" i="2" s="1"/>
  <c r="P44" i="1"/>
  <c r="H352" i="2"/>
  <c r="H375" i="2" s="1"/>
  <c r="U413" i="2"/>
  <c r="U487" i="2" s="1"/>
  <c r="U509" i="2" s="1"/>
  <c r="N413" i="2"/>
  <c r="V413" i="2"/>
  <c r="V487" i="2" s="1"/>
  <c r="V509" i="2" s="1"/>
  <c r="W413" i="2"/>
  <c r="W487" i="2" s="1"/>
  <c r="W509" i="2" s="1"/>
  <c r="H413" i="2"/>
  <c r="H487" i="2" s="1"/>
  <c r="H509" i="2" s="1"/>
  <c r="P413" i="2"/>
  <c r="P487" i="2" s="1"/>
  <c r="P509" i="2" s="1"/>
  <c r="AH413" i="2"/>
  <c r="AH487" i="2" s="1"/>
  <c r="AH509" i="2" s="1"/>
  <c r="K413" i="2"/>
  <c r="K436" i="2" s="1"/>
  <c r="Q413" i="2"/>
  <c r="Q487" i="2" s="1"/>
  <c r="Q509" i="2" s="1"/>
  <c r="U352" i="2"/>
  <c r="U484" i="2" s="1"/>
  <c r="U506" i="2" s="1"/>
  <c r="R413" i="2"/>
  <c r="R436" i="2" s="1"/>
  <c r="AE413" i="2"/>
  <c r="AE436" i="2" s="1"/>
  <c r="AE352" i="2"/>
  <c r="J352" i="2"/>
  <c r="J375" i="2" s="1"/>
  <c r="O352" i="2"/>
  <c r="O484" i="2" s="1"/>
  <c r="O506" i="2" s="1"/>
  <c r="AA413" i="2"/>
  <c r="AA487" i="2" s="1"/>
  <c r="AA509" i="2" s="1"/>
  <c r="Z413" i="2"/>
  <c r="Z487" i="2" s="1"/>
  <c r="Z509" i="2" s="1"/>
  <c r="AG413" i="2"/>
  <c r="AG487" i="2" s="1"/>
  <c r="AG509" i="2" s="1"/>
  <c r="Q352" i="2"/>
  <c r="Q375" i="2" s="1"/>
  <c r="AH352" i="2"/>
  <c r="AH484" i="2" s="1"/>
  <c r="AH506" i="2" s="1"/>
  <c r="P58" i="1"/>
  <c r="L352" i="2"/>
  <c r="L484" i="2" s="1"/>
  <c r="L506" i="2" s="1"/>
  <c r="AB352" i="2"/>
  <c r="AB484" i="2" s="1"/>
  <c r="AB506" i="2" s="1"/>
  <c r="BC397" i="2"/>
  <c r="Q54" i="1"/>
  <c r="I54" i="17" s="1"/>
  <c r="K54" i="17" s="1"/>
  <c r="R352" i="2"/>
  <c r="R484" i="2" s="1"/>
  <c r="R506" i="2" s="1"/>
  <c r="W352" i="2"/>
  <c r="W484" i="2" s="1"/>
  <c r="W506" i="2" s="1"/>
  <c r="AC352" i="2"/>
  <c r="L413" i="2"/>
  <c r="L487" i="2" s="1"/>
  <c r="L509" i="2" s="1"/>
  <c r="M413" i="2"/>
  <c r="M436" i="2" s="1"/>
  <c r="AD352" i="2"/>
  <c r="AD484" i="2" s="1"/>
  <c r="AD506" i="2" s="1"/>
  <c r="BC330" i="2"/>
  <c r="D391" i="2" s="1"/>
  <c r="BC391" i="2" s="1"/>
  <c r="Y352" i="2"/>
  <c r="Y484" i="2" s="1"/>
  <c r="Y506" i="2" s="1"/>
  <c r="AQ352" i="2"/>
  <c r="T352" i="2"/>
  <c r="BC425" i="2"/>
  <c r="X413" i="2"/>
  <c r="X436" i="2" s="1"/>
  <c r="AG352" i="2"/>
  <c r="AD413" i="2"/>
  <c r="AD487" i="2" s="1"/>
  <c r="AD509" i="2" s="1"/>
  <c r="M352" i="2"/>
  <c r="N38" i="1"/>
  <c r="BC344" i="2"/>
  <c r="D405" i="2" s="1"/>
  <c r="BC405" i="2" s="1"/>
  <c r="F413" i="2"/>
  <c r="AF413" i="2"/>
  <c r="P352" i="2"/>
  <c r="P484" i="2" s="1"/>
  <c r="P506" i="2" s="1"/>
  <c r="X352" i="2"/>
  <c r="AP413" i="2"/>
  <c r="BC424" i="2"/>
  <c r="BC362" i="2"/>
  <c r="D423" i="2" s="1"/>
  <c r="BC423" i="2" s="1"/>
  <c r="BC338" i="2"/>
  <c r="D399" i="2" s="1"/>
  <c r="BC399" i="2" s="1"/>
  <c r="BB365" i="2"/>
  <c r="BB354" i="2" s="1"/>
  <c r="BB485" i="2" s="1"/>
  <c r="BB507" i="2" s="1"/>
  <c r="N26" i="1"/>
  <c r="BC384" i="2"/>
  <c r="BB334" i="2"/>
  <c r="BC331" i="2"/>
  <c r="D392" i="2" s="1"/>
  <c r="BC392" i="2" s="1"/>
  <c r="D1" i="51"/>
  <c r="D2" i="51"/>
  <c r="U14" i="51"/>
  <c r="Z14" i="51" s="1"/>
  <c r="AE14" i="51" s="1"/>
  <c r="P39" i="51"/>
  <c r="U39" i="51" s="1"/>
  <c r="Z39" i="51" s="1"/>
  <c r="AE39" i="51" s="1"/>
  <c r="S4" i="51"/>
  <c r="S2" i="51"/>
  <c r="S1" i="51"/>
  <c r="H2" i="51"/>
  <c r="H1" i="51"/>
  <c r="P38" i="51"/>
  <c r="U38" i="51" s="1"/>
  <c r="Z38" i="51" s="1"/>
  <c r="AE38" i="51" s="1"/>
  <c r="AA2" i="51"/>
  <c r="AA4" i="51"/>
  <c r="AA1" i="51"/>
  <c r="G1" i="51"/>
  <c r="AC1" i="51"/>
  <c r="AC2" i="51"/>
  <c r="AC4" i="51"/>
  <c r="V2" i="51"/>
  <c r="V1" i="51"/>
  <c r="V4" i="51"/>
  <c r="O23" i="51"/>
  <c r="P23" i="51" s="1"/>
  <c r="U23" i="51" s="1"/>
  <c r="Z23" i="51" s="1"/>
  <c r="AE23" i="51" s="1"/>
  <c r="J27" i="51"/>
  <c r="K27" i="51" s="1"/>
  <c r="P27" i="51" s="1"/>
  <c r="U27" i="51" s="1"/>
  <c r="Z27" i="51" s="1"/>
  <c r="AE27" i="51" s="1"/>
  <c r="P21" i="51"/>
  <c r="U21" i="51" s="1"/>
  <c r="Z21" i="51" s="1"/>
  <c r="AE21" i="51" s="1"/>
  <c r="AE31" i="51"/>
  <c r="I1" i="51"/>
  <c r="I2" i="51"/>
  <c r="P46" i="51"/>
  <c r="U46" i="51" s="1"/>
  <c r="Z46" i="51" s="1"/>
  <c r="AE46" i="51" s="1"/>
  <c r="G20" i="2"/>
  <c r="B64" i="14" s="1"/>
  <c r="N80" i="54"/>
  <c r="BZ33" i="45"/>
  <c r="CB33" i="45" s="1"/>
  <c r="CD33" i="45" s="1"/>
  <c r="CF33" i="45" s="1"/>
  <c r="CH33" i="45" s="1"/>
  <c r="AF243" i="2"/>
  <c r="AF232" i="2" s="1"/>
  <c r="J11" i="52"/>
  <c r="E138" i="2"/>
  <c r="L82" i="54" s="1"/>
  <c r="AF304" i="2"/>
  <c r="AF293" i="2" s="1"/>
  <c r="E77" i="2"/>
  <c r="L81" i="54" s="1"/>
  <c r="I56" i="44"/>
  <c r="F4" i="52"/>
  <c r="F2" i="52"/>
  <c r="C65" i="44"/>
  <c r="AM23" i="44"/>
  <c r="F36" i="2"/>
  <c r="Z20" i="44"/>
  <c r="R56" i="44"/>
  <c r="R69" i="44" s="1"/>
  <c r="R70" i="44" s="1"/>
  <c r="R71" i="44" s="1"/>
  <c r="P34" i="51"/>
  <c r="U34" i="51" s="1"/>
  <c r="Z34" i="51" s="1"/>
  <c r="AE34" i="51" s="1"/>
  <c r="L2" i="51"/>
  <c r="L1" i="51"/>
  <c r="F56" i="44"/>
  <c r="P56" i="44"/>
  <c r="P69" i="44" s="1"/>
  <c r="P70" i="44" s="1"/>
  <c r="P71" i="44" s="1"/>
  <c r="E321" i="2"/>
  <c r="E325" i="2" s="1"/>
  <c r="Q37" i="44"/>
  <c r="BB426" i="2"/>
  <c r="BB415" i="2" s="1"/>
  <c r="BB488" i="2" s="1"/>
  <c r="BB510" i="2" s="1"/>
  <c r="OE26" i="44"/>
  <c r="IX19" i="44"/>
  <c r="IX21" i="44" s="1"/>
  <c r="IX22" i="44" s="1"/>
  <c r="IV22" i="44"/>
  <c r="HF34" i="44"/>
  <c r="HF36" i="44" s="1"/>
  <c r="NC21" i="44"/>
  <c r="NC22" i="44" s="1"/>
  <c r="NT26" i="44"/>
  <c r="NT29" i="44" s="1"/>
  <c r="IF18" i="44"/>
  <c r="NG21" i="44"/>
  <c r="NG22" i="44" s="1"/>
  <c r="KM20" i="44"/>
  <c r="I348" i="2"/>
  <c r="I350" i="2" s="1"/>
  <c r="I352" i="2" s="1"/>
  <c r="I484" i="2" s="1"/>
  <c r="I506" i="2" s="1"/>
  <c r="CI24" i="44"/>
  <c r="EI20" i="44"/>
  <c r="EI21" i="44" s="1"/>
  <c r="NV29" i="44"/>
  <c r="NV30" i="44" s="1"/>
  <c r="MD22" i="44"/>
  <c r="JA22" i="44"/>
  <c r="QO19" i="44"/>
  <c r="JC22" i="44"/>
  <c r="HE34" i="44"/>
  <c r="HE36" i="44" s="1"/>
  <c r="P375" i="58" s="1"/>
  <c r="NI21" i="44"/>
  <c r="NI22" i="44" s="1"/>
  <c r="NW26" i="44"/>
  <c r="UV27" i="44"/>
  <c r="IM21" i="44"/>
  <c r="NM21" i="44"/>
  <c r="O69" i="44"/>
  <c r="O70" i="44" s="1"/>
  <c r="HG34" i="44"/>
  <c r="HG36" i="44" s="1"/>
  <c r="P436" i="58" s="1"/>
  <c r="UX27" i="44"/>
  <c r="JE22" i="44"/>
  <c r="AF182" i="2"/>
  <c r="AF171" i="2" s="1"/>
  <c r="O413" i="2"/>
  <c r="I56" i="17"/>
  <c r="K56" i="17" s="1"/>
  <c r="BB395" i="2"/>
  <c r="BB151" i="2"/>
  <c r="P28" i="1"/>
  <c r="P45" i="1" s="1"/>
  <c r="I43" i="17"/>
  <c r="BC345" i="2"/>
  <c r="D406" i="2" s="1"/>
  <c r="BC406" i="2" s="1"/>
  <c r="N51" i="1"/>
  <c r="N27" i="1"/>
  <c r="N56" i="1"/>
  <c r="BC340" i="2"/>
  <c r="D401" i="2" s="1"/>
  <c r="BC401" i="2" s="1"/>
  <c r="E24" i="1"/>
  <c r="G24" i="1" s="1"/>
  <c r="BC359" i="2"/>
  <c r="E26" i="1"/>
  <c r="G26" i="1" s="1"/>
  <c r="I26" i="1" s="1"/>
  <c r="U26" i="17" s="1"/>
  <c r="W26" i="17" s="1"/>
  <c r="BC394" i="2"/>
  <c r="BB212" i="2"/>
  <c r="E27" i="1"/>
  <c r="G27" i="1" s="1"/>
  <c r="I27" i="1" s="1"/>
  <c r="K27" i="1" s="1"/>
  <c r="E39" i="1"/>
  <c r="G39" i="1" s="1"/>
  <c r="I39" i="1" s="1"/>
  <c r="U39" i="17" s="1"/>
  <c r="W39" i="17" s="1"/>
  <c r="F28" i="1"/>
  <c r="E17" i="1"/>
  <c r="G17" i="1" s="1"/>
  <c r="I17" i="1" s="1"/>
  <c r="K17" i="1" s="1"/>
  <c r="N37" i="44"/>
  <c r="N56" i="44" s="1"/>
  <c r="SA35" i="44"/>
  <c r="AF117" i="2"/>
  <c r="AF121" i="2" s="1"/>
  <c r="AF110" i="2" s="1"/>
  <c r="SG20" i="44"/>
  <c r="SG24" i="44" s="1"/>
  <c r="SG26" i="44" s="1"/>
  <c r="SG28" i="44" s="1"/>
  <c r="SG30" i="44" s="1"/>
  <c r="SC20" i="44"/>
  <c r="SC24" i="44" s="1"/>
  <c r="SC26" i="44" s="1"/>
  <c r="SA20" i="44"/>
  <c r="SA24" i="44" s="1"/>
  <c r="SA26" i="44" s="1"/>
  <c r="SA28" i="44" s="1"/>
  <c r="SA30" i="44" s="1"/>
  <c r="K17" i="6"/>
  <c r="BB273" i="2"/>
  <c r="J25" i="1"/>
  <c r="J28" i="1" s="1"/>
  <c r="I15" i="6"/>
  <c r="BZ37" i="45"/>
  <c r="CB37" i="45" s="1"/>
  <c r="CD37" i="45" s="1"/>
  <c r="CF37" i="45" s="1"/>
  <c r="CH37" i="45" s="1"/>
  <c r="B9" i="14"/>
  <c r="C9" i="14" s="1"/>
  <c r="D9" i="14" s="1"/>
  <c r="CA20" i="44"/>
  <c r="CC20" i="44"/>
  <c r="BY20" i="44"/>
  <c r="RY28" i="44"/>
  <c r="RY30" i="44" s="1"/>
  <c r="NE21" i="44"/>
  <c r="NE22" i="44" s="1"/>
  <c r="NU30" i="44"/>
  <c r="IY22" i="44"/>
  <c r="DQ22" i="44"/>
  <c r="IH17" i="44"/>
  <c r="IJ17" i="44" s="1"/>
  <c r="IL17" i="44" s="1"/>
  <c r="IN17" i="44" s="1"/>
  <c r="IK20" i="44"/>
  <c r="IK21" i="44" s="1"/>
  <c r="N36" i="1"/>
  <c r="NS30" i="44"/>
  <c r="SF28" i="44"/>
  <c r="JQ22" i="44"/>
  <c r="JQ23" i="44" s="1"/>
  <c r="T131" i="58" s="1"/>
  <c r="EC20" i="44"/>
  <c r="EC21" i="44" s="1"/>
  <c r="IL16" i="44"/>
  <c r="OD31" i="44"/>
  <c r="N33" i="1"/>
  <c r="BC339" i="2"/>
  <c r="D400" i="2" s="1"/>
  <c r="BC400" i="2" s="1"/>
  <c r="RZ28" i="44"/>
  <c r="SE20" i="44"/>
  <c r="SE24" i="44" s="1"/>
  <c r="SE26" i="44" s="1"/>
  <c r="NR29" i="44"/>
  <c r="I409" i="2"/>
  <c r="I411" i="2" s="1"/>
  <c r="I413" i="2" s="1"/>
  <c r="I487" i="2" s="1"/>
  <c r="I509" i="2" s="1"/>
  <c r="CK24" i="44"/>
  <c r="SD28" i="44"/>
  <c r="AF226" i="2" s="1"/>
  <c r="AF228" i="2" s="1"/>
  <c r="AF230" i="2" s="1"/>
  <c r="F32" i="56" s="1"/>
  <c r="N41" i="1"/>
  <c r="BC347" i="2"/>
  <c r="D408" i="2" s="1"/>
  <c r="BC408" i="2" s="1"/>
  <c r="ID20" i="44"/>
  <c r="ID21" i="44" s="1"/>
  <c r="EG20" i="44"/>
  <c r="EG21" i="44" s="1"/>
  <c r="EW27" i="44"/>
  <c r="EE20" i="44"/>
  <c r="EE21" i="44" s="1"/>
  <c r="DK22" i="44"/>
  <c r="OC31" i="44"/>
  <c r="DM21" i="44"/>
  <c r="DM22" i="44" s="1"/>
  <c r="JB17" i="44"/>
  <c r="IZ19" i="44"/>
  <c r="SB28" i="44"/>
  <c r="AF165" i="2" s="1"/>
  <c r="AF167" i="2" s="1"/>
  <c r="AF169" i="2" s="1"/>
  <c r="E32" i="56" s="1"/>
  <c r="FA25" i="44"/>
  <c r="FA27" i="44" s="1"/>
  <c r="NK21" i="44"/>
  <c r="NK22" i="44" s="1"/>
  <c r="AF4" i="44"/>
  <c r="HH34" i="44"/>
  <c r="HH36" i="44" s="1"/>
  <c r="SF35" i="44"/>
  <c r="SD35" i="44"/>
  <c r="SB35" i="44"/>
  <c r="RZ35" i="44"/>
  <c r="BC28" i="2"/>
  <c r="D89" i="2" s="1"/>
  <c r="Q36" i="17"/>
  <c r="S36" i="17" s="1"/>
  <c r="GG30" i="44"/>
  <c r="E11" i="46"/>
  <c r="MZ21" i="44"/>
  <c r="MZ22" i="44" s="1"/>
  <c r="K14" i="6"/>
  <c r="K15" i="6" s="1"/>
  <c r="GG27" i="44"/>
  <c r="SC35" i="44"/>
  <c r="GV23" i="44"/>
  <c r="GX23" i="44" s="1"/>
  <c r="GZ23" i="44" s="1"/>
  <c r="HB23" i="44" s="1"/>
  <c r="HD23" i="44" s="1"/>
  <c r="H28" i="1"/>
  <c r="EU18" i="44"/>
  <c r="ES22" i="44"/>
  <c r="GE27" i="44"/>
  <c r="PG27" i="44"/>
  <c r="BZ22" i="45"/>
  <c r="CB19" i="45"/>
  <c r="CD19" i="45" s="1"/>
  <c r="CF19" i="45" s="1"/>
  <c r="CH19" i="45" s="1"/>
  <c r="BZ40" i="45"/>
  <c r="CB40" i="45" s="1"/>
  <c r="CD40" i="45" s="1"/>
  <c r="CF40" i="45" s="1"/>
  <c r="CH40" i="45" s="1"/>
  <c r="PD38" i="44"/>
  <c r="PF38" i="44" s="1"/>
  <c r="PH38" i="44" s="1"/>
  <c r="PJ38" i="44" s="1"/>
  <c r="LC26" i="44"/>
  <c r="LC29" i="44" s="1"/>
  <c r="LC31" i="44" s="1"/>
  <c r="LC32" i="44" s="1"/>
  <c r="LC33" i="44" s="1"/>
  <c r="V192" i="58" s="1"/>
  <c r="CB20" i="45"/>
  <c r="CD20" i="45" s="1"/>
  <c r="CF20" i="45" s="1"/>
  <c r="CH20" i="45" s="1"/>
  <c r="AQ141" i="2"/>
  <c r="BZ35" i="45"/>
  <c r="CB35" i="45" s="1"/>
  <c r="CD35" i="45" s="1"/>
  <c r="CF35" i="45" s="1"/>
  <c r="CH35" i="45" s="1"/>
  <c r="EV19" i="44"/>
  <c r="EV21" i="44" s="1"/>
  <c r="EX21" i="44" s="1"/>
  <c r="EZ21" i="44" s="1"/>
  <c r="ER19" i="44"/>
  <c r="ER21" i="44" s="1"/>
  <c r="ER23" i="44" s="1"/>
  <c r="ER25" i="44" s="1"/>
  <c r="ER27" i="44" s="1"/>
  <c r="FL17" i="44"/>
  <c r="FN17" i="44" s="1"/>
  <c r="J13" i="6"/>
  <c r="J17" i="6" s="1"/>
  <c r="K18" i="6"/>
  <c r="FK18" i="44"/>
  <c r="FK20" i="44" s="1"/>
  <c r="GK27" i="44"/>
  <c r="FL16" i="44"/>
  <c r="FN16" i="44" s="1"/>
  <c r="FP16" i="44" s="1"/>
  <c r="FR16" i="44" s="1"/>
  <c r="FT16" i="44" s="1"/>
  <c r="BX44" i="45"/>
  <c r="BX46" i="45" s="1"/>
  <c r="BX47" i="45" s="1"/>
  <c r="AQ202" i="2"/>
  <c r="UA19" i="44"/>
  <c r="BZ34" i="45"/>
  <c r="CB34" i="45" s="1"/>
  <c r="CD34" i="45" s="1"/>
  <c r="CF34" i="45" s="1"/>
  <c r="CH34" i="45" s="1"/>
  <c r="BZ38" i="45"/>
  <c r="CB38" i="45" s="1"/>
  <c r="CD38" i="45" s="1"/>
  <c r="CF38" i="45" s="1"/>
  <c r="CH38" i="45" s="1"/>
  <c r="GV20" i="44"/>
  <c r="GX20" i="44" s="1"/>
  <c r="GZ20" i="44" s="1"/>
  <c r="HB20" i="44" s="1"/>
  <c r="HD20" i="44" s="1"/>
  <c r="LR20" i="44"/>
  <c r="LT20" i="44" s="1"/>
  <c r="LV20" i="44" s="1"/>
  <c r="LX20" i="44" s="1"/>
  <c r="LZ20" i="44" s="1"/>
  <c r="E62" i="44"/>
  <c r="BZ41" i="45"/>
  <c r="CB41" i="45" s="1"/>
  <c r="CD41" i="45" s="1"/>
  <c r="CF41" i="45" s="1"/>
  <c r="CH41" i="45" s="1"/>
  <c r="BC40" i="2"/>
  <c r="D101" i="2" s="1"/>
  <c r="LE26" i="44"/>
  <c r="LE29" i="44" s="1"/>
  <c r="LE31" i="44" s="1"/>
  <c r="LE32" i="44" s="1"/>
  <c r="LE33" i="44" s="1"/>
  <c r="V253" i="58" s="1"/>
  <c r="DZ21" i="44"/>
  <c r="LA26" i="44"/>
  <c r="LA29" i="44" s="1"/>
  <c r="LA31" i="44" s="1"/>
  <c r="LA32" i="44" s="1"/>
  <c r="GV17" i="44"/>
  <c r="GX17" i="44" s="1"/>
  <c r="GZ17" i="44" s="1"/>
  <c r="HB17" i="44" s="1"/>
  <c r="HD17" i="44" s="1"/>
  <c r="NB18" i="44"/>
  <c r="NB20" i="44" s="1"/>
  <c r="ND20" i="44" s="1"/>
  <c r="NF20" i="44" s="1"/>
  <c r="NH20" i="44" s="1"/>
  <c r="NJ20" i="44" s="1"/>
  <c r="UB19" i="44"/>
  <c r="AK19" i="2" s="1"/>
  <c r="J36" i="17"/>
  <c r="K36" i="17" s="1"/>
  <c r="BZ36" i="45"/>
  <c r="CB36" i="45" s="1"/>
  <c r="CD36" i="45" s="1"/>
  <c r="CF36" i="45" s="1"/>
  <c r="CH36" i="45" s="1"/>
  <c r="GU26" i="44"/>
  <c r="TZ22" i="44"/>
  <c r="BZ42" i="45"/>
  <c r="CB42" i="45" s="1"/>
  <c r="CD42" i="45" s="1"/>
  <c r="CF42" i="45" s="1"/>
  <c r="CH42" i="45" s="1"/>
  <c r="X57" i="44"/>
  <c r="I39" i="6"/>
  <c r="QQ17" i="44"/>
  <c r="QS17" i="44" s="1"/>
  <c r="QU17" i="44" s="1"/>
  <c r="QW17" i="44" s="1"/>
  <c r="W47" i="51"/>
  <c r="W6" i="51" s="1"/>
  <c r="W2" i="51" s="1"/>
  <c r="LI26" i="44"/>
  <c r="LI29" i="44" s="1"/>
  <c r="LI31" i="44" s="1"/>
  <c r="LI32" i="44" s="1"/>
  <c r="EB19" i="44"/>
  <c r="ED19" i="44" s="1"/>
  <c r="EF19" i="44" s="1"/>
  <c r="X56" i="44"/>
  <c r="ES18" i="44"/>
  <c r="I17" i="6"/>
  <c r="I19" i="6" s="1"/>
  <c r="R32" i="51"/>
  <c r="I43" i="54" s="1"/>
  <c r="FJ18" i="44"/>
  <c r="FJ20" i="44" s="1"/>
  <c r="FJ21" i="44" s="1"/>
  <c r="W60" i="2"/>
  <c r="W49" i="2" s="1"/>
  <c r="I23" i="56" s="1"/>
  <c r="BC18" i="2"/>
  <c r="D79" i="2" s="1"/>
  <c r="U37" i="44"/>
  <c r="AE37" i="44" s="1"/>
  <c r="D29" i="2"/>
  <c r="D54" i="44"/>
  <c r="M36" i="17"/>
  <c r="O36" i="17" s="1"/>
  <c r="PD31" i="44"/>
  <c r="PF31" i="44" s="1"/>
  <c r="PH31" i="44" s="1"/>
  <c r="PJ31" i="44" s="1"/>
  <c r="BC27" i="2"/>
  <c r="BC88" i="2" s="1"/>
  <c r="D149" i="2" s="1"/>
  <c r="BC25" i="2"/>
  <c r="LQ22" i="44"/>
  <c r="PD24" i="44"/>
  <c r="C25" i="1"/>
  <c r="C28" i="1" s="1"/>
  <c r="EU22" i="44"/>
  <c r="LR16" i="44"/>
  <c r="LT16" i="44" s="1"/>
  <c r="LV16" i="44" s="1"/>
  <c r="LX16" i="44" s="1"/>
  <c r="LZ16" i="44" s="1"/>
  <c r="LR17" i="44"/>
  <c r="LT17" i="44" s="1"/>
  <c r="LV17" i="44" s="1"/>
  <c r="LX17" i="44" s="1"/>
  <c r="LZ17" i="44" s="1"/>
  <c r="CR17" i="44"/>
  <c r="CQ19" i="44"/>
  <c r="EB16" i="44"/>
  <c r="EB17" i="44" s="1"/>
  <c r="GT26" i="44"/>
  <c r="GT28" i="44" s="1"/>
  <c r="GT30" i="44" s="1"/>
  <c r="GT32" i="44" s="1"/>
  <c r="GT34" i="44" s="1"/>
  <c r="GT36" i="44" s="1"/>
  <c r="PG33" i="44"/>
  <c r="CB18" i="45"/>
  <c r="CD18" i="45" s="1"/>
  <c r="CF18" i="45" s="1"/>
  <c r="CH18" i="45" s="1"/>
  <c r="G5" i="51"/>
  <c r="AB20" i="2"/>
  <c r="B65" i="14" s="1"/>
  <c r="EZ17" i="44"/>
  <c r="EX19" i="44"/>
  <c r="GE30" i="44"/>
  <c r="GC30" i="44"/>
  <c r="V61" i="44"/>
  <c r="X42" i="44"/>
  <c r="X55" i="44"/>
  <c r="C16" i="1"/>
  <c r="E16" i="1" s="1"/>
  <c r="G16" i="1" s="1"/>
  <c r="I16" i="1" s="1"/>
  <c r="U16" i="17" s="1"/>
  <c r="W16" i="17" s="1"/>
  <c r="BC17" i="2"/>
  <c r="BZ27" i="45"/>
  <c r="LR19" i="44"/>
  <c r="LT19" i="44" s="1"/>
  <c r="LV19" i="44" s="1"/>
  <c r="LX19" i="44" s="1"/>
  <c r="LZ19" i="44" s="1"/>
  <c r="D55" i="1"/>
  <c r="BY44" i="45"/>
  <c r="PD30" i="44"/>
  <c r="PF30" i="44" s="1"/>
  <c r="PH30" i="44" s="1"/>
  <c r="PC33" i="44"/>
  <c r="AB57" i="2" s="1"/>
  <c r="LR21" i="44"/>
  <c r="LT21" i="44" s="1"/>
  <c r="LV21" i="44" s="1"/>
  <c r="LX21" i="44" s="1"/>
  <c r="LZ21" i="44" s="1"/>
  <c r="GW26" i="44"/>
  <c r="GY26" i="44" s="1"/>
  <c r="HA26" i="44" s="1"/>
  <c r="LG26" i="44"/>
  <c r="LG29" i="44" s="1"/>
  <c r="LG31" i="44" s="1"/>
  <c r="LG32" i="44" s="1"/>
  <c r="LL17" i="44"/>
  <c r="LL26" i="44" s="1"/>
  <c r="LL29" i="44" s="1"/>
  <c r="LL31" i="44" s="1"/>
  <c r="LL32" i="44" s="1"/>
  <c r="LL33" i="44" s="1"/>
  <c r="LK26" i="44"/>
  <c r="LK29" i="44" s="1"/>
  <c r="LK31" i="44" s="1"/>
  <c r="LK32" i="44" s="1"/>
  <c r="LK33" i="44" s="1"/>
  <c r="V436" i="58" s="1"/>
  <c r="X43" i="44"/>
  <c r="X44" i="44"/>
  <c r="QT19" i="44"/>
  <c r="BZ32" i="45"/>
  <c r="X49" i="44"/>
  <c r="ET19" i="44"/>
  <c r="ET21" i="44" s="1"/>
  <c r="ES17" i="44"/>
  <c r="EU17" i="44"/>
  <c r="AD243" i="2"/>
  <c r="AD232" i="2" s="1"/>
  <c r="L30" i="56" s="1"/>
  <c r="EA20" i="44"/>
  <c r="L42" i="2"/>
  <c r="MK20" i="44"/>
  <c r="MK25" i="44" s="1"/>
  <c r="MK27" i="44" s="1"/>
  <c r="MK29" i="44" s="1"/>
  <c r="MK31" i="44" s="1"/>
  <c r="PE33" i="44"/>
  <c r="AB117" i="2" s="1"/>
  <c r="BZ43" i="45"/>
  <c r="K37" i="2"/>
  <c r="X52" i="44"/>
  <c r="E37" i="44"/>
  <c r="Y32" i="51"/>
  <c r="X51" i="44"/>
  <c r="L37" i="44"/>
  <c r="L56" i="44" s="1"/>
  <c r="D37" i="44"/>
  <c r="BZ39" i="45"/>
  <c r="CB39" i="45" s="1"/>
  <c r="CD39" i="45" s="1"/>
  <c r="CF39" i="45" s="1"/>
  <c r="CH39" i="45" s="1"/>
  <c r="K38" i="6"/>
  <c r="GI27" i="44"/>
  <c r="PG21" i="44"/>
  <c r="MQ34" i="44"/>
  <c r="MQ36" i="44" s="1"/>
  <c r="MQ29" i="44"/>
  <c r="MQ31" i="44" s="1"/>
  <c r="MO34" i="44"/>
  <c r="MO36" i="44" s="1"/>
  <c r="MO29" i="44"/>
  <c r="MO31" i="44" s="1"/>
  <c r="MM29" i="44"/>
  <c r="MM31" i="44" s="1"/>
  <c r="MM34" i="44"/>
  <c r="MM36" i="44" s="1"/>
  <c r="HG28" i="44"/>
  <c r="HH28" i="44"/>
  <c r="D20" i="2"/>
  <c r="HE28" i="44"/>
  <c r="PD18" i="44"/>
  <c r="DI22" i="44"/>
  <c r="K43" i="2"/>
  <c r="DH21" i="44"/>
  <c r="DJ21" i="44" s="1"/>
  <c r="DL21" i="44" s="1"/>
  <c r="PB33" i="44"/>
  <c r="DJ18" i="44"/>
  <c r="GI30" i="44"/>
  <c r="GK30" i="44"/>
  <c r="D56" i="1"/>
  <c r="LP22" i="44"/>
  <c r="LR18" i="44"/>
  <c r="E54" i="44"/>
  <c r="D5" i="51"/>
  <c r="D4" i="51" s="1"/>
  <c r="KH16" i="44"/>
  <c r="KF17" i="44"/>
  <c r="AD177" i="2"/>
  <c r="QR19" i="44"/>
  <c r="Y13" i="52"/>
  <c r="AD19" i="52"/>
  <c r="NA21" i="44"/>
  <c r="KG19" i="44"/>
  <c r="AQ80" i="2"/>
  <c r="M33" i="51"/>
  <c r="I42" i="54" s="1"/>
  <c r="J42" i="54" s="1"/>
  <c r="P31" i="52"/>
  <c r="S31" i="52" s="1"/>
  <c r="T21" i="52"/>
  <c r="Z21" i="52" s="1"/>
  <c r="AE21" i="52" s="1"/>
  <c r="U22" i="52"/>
  <c r="Y22" i="52" s="1"/>
  <c r="HN16" i="44"/>
  <c r="Q35" i="2"/>
  <c r="Q45" i="2" s="1"/>
  <c r="Q47" i="2" s="1"/>
  <c r="HM18" i="44"/>
  <c r="CB17" i="45"/>
  <c r="N13" i="52"/>
  <c r="AQ263" i="2"/>
  <c r="AB33" i="51"/>
  <c r="I46" i="54" s="1"/>
  <c r="J46" i="54" s="1"/>
  <c r="QQ18" i="44"/>
  <c r="QP19" i="44"/>
  <c r="AD116" i="2"/>
  <c r="AD121" i="2" s="1"/>
  <c r="QV19" i="44"/>
  <c r="AD298" i="2"/>
  <c r="S13" i="52"/>
  <c r="E348" i="2" l="1"/>
  <c r="E350" i="2" s="1"/>
  <c r="E348" i="58"/>
  <c r="AP247" i="58"/>
  <c r="Y43" i="2"/>
  <c r="Y45" i="2" s="1"/>
  <c r="Y47" i="2" s="1"/>
  <c r="Y469" i="2" s="1"/>
  <c r="Y491" i="2" s="1"/>
  <c r="Y43" i="58"/>
  <c r="Y45" i="58" s="1"/>
  <c r="Y47" i="58" s="1"/>
  <c r="H30" i="56"/>
  <c r="L28" i="1"/>
  <c r="O88" i="54"/>
  <c r="L19" i="6"/>
  <c r="G4" i="51"/>
  <c r="J37" i="54"/>
  <c r="G49" i="44"/>
  <c r="J36" i="54"/>
  <c r="D60" i="54"/>
  <c r="D77" i="54" s="1"/>
  <c r="D89" i="54"/>
  <c r="G48" i="44"/>
  <c r="G54" i="44" s="1"/>
  <c r="C11" i="3"/>
  <c r="B12" i="3"/>
  <c r="J43" i="2"/>
  <c r="J45" i="2" s="1"/>
  <c r="J47" i="2" s="1"/>
  <c r="C10" i="56" s="1"/>
  <c r="E16" i="56"/>
  <c r="G314" i="2"/>
  <c r="G481" i="2"/>
  <c r="G503" i="2" s="1"/>
  <c r="L481" i="2"/>
  <c r="L503" i="2" s="1"/>
  <c r="R314" i="2"/>
  <c r="E60" i="54"/>
  <c r="E77" i="54" s="1"/>
  <c r="E79" i="3"/>
  <c r="E80" i="3" s="1"/>
  <c r="E51" i="3"/>
  <c r="E52" i="3" s="1"/>
  <c r="E53" i="3" s="1"/>
  <c r="E54" i="3" s="1"/>
  <c r="E55" i="3" s="1"/>
  <c r="L314" i="2"/>
  <c r="AC314" i="2"/>
  <c r="AC481" i="2"/>
  <c r="AC503" i="2" s="1"/>
  <c r="K60" i="1"/>
  <c r="C60" i="1"/>
  <c r="D60" i="1" s="1"/>
  <c r="E60" i="1" s="1"/>
  <c r="AR70" i="2"/>
  <c r="M39" i="56"/>
  <c r="G39" i="56"/>
  <c r="AR469" i="2"/>
  <c r="AR491" i="2" s="1"/>
  <c r="C44" i="56"/>
  <c r="U131" i="2"/>
  <c r="AK131" i="2"/>
  <c r="AK472" i="2"/>
  <c r="AK494" i="2" s="1"/>
  <c r="X472" i="2"/>
  <c r="X494" i="2" s="1"/>
  <c r="R192" i="2"/>
  <c r="G253" i="2"/>
  <c r="D21" i="56"/>
  <c r="J192" i="2"/>
  <c r="E10" i="56"/>
  <c r="R253" i="2"/>
  <c r="G478" i="2"/>
  <c r="G500" i="2" s="1"/>
  <c r="E18" i="56"/>
  <c r="S253" i="2"/>
  <c r="W51" i="52"/>
  <c r="W6" i="52" s="1"/>
  <c r="Y27" i="52"/>
  <c r="Z27" i="52" s="1"/>
  <c r="AE27" i="52" s="1"/>
  <c r="L51" i="52"/>
  <c r="L6" i="52" s="1"/>
  <c r="L2" i="52" s="1"/>
  <c r="Q475" i="2"/>
  <c r="Q497" i="2" s="1"/>
  <c r="Y192" i="2"/>
  <c r="D356" i="2"/>
  <c r="E25" i="56"/>
  <c r="AF484" i="2"/>
  <c r="AF506" i="2" s="1"/>
  <c r="L192" i="2"/>
  <c r="AA192" i="2"/>
  <c r="AA475" i="2"/>
  <c r="AA497" i="2" s="1"/>
  <c r="Q192" i="2"/>
  <c r="M314" i="2"/>
  <c r="I60" i="54"/>
  <c r="I77" i="54" s="1"/>
  <c r="M41" i="56"/>
  <c r="G41" i="56"/>
  <c r="FK21" i="44"/>
  <c r="FK23" i="44" s="1"/>
  <c r="BJ41" i="45"/>
  <c r="BL41" i="45" s="1"/>
  <c r="BN41" i="45" s="1"/>
  <c r="BP41" i="45" s="1"/>
  <c r="ND18" i="44"/>
  <c r="N15" i="52"/>
  <c r="O15" i="52" s="1"/>
  <c r="Q51" i="52" s="1"/>
  <c r="Q6" i="52" s="1"/>
  <c r="M192" i="2"/>
  <c r="AI70" i="2"/>
  <c r="M19" i="56"/>
  <c r="AI469" i="2"/>
  <c r="AI491" i="2" s="1"/>
  <c r="M6" i="56"/>
  <c r="Y131" i="2"/>
  <c r="AK478" i="2"/>
  <c r="AK500" i="2" s="1"/>
  <c r="M25" i="56"/>
  <c r="M5" i="56"/>
  <c r="M16" i="56"/>
  <c r="M23" i="56"/>
  <c r="L472" i="2"/>
  <c r="L494" i="2" s="1"/>
  <c r="D12" i="56"/>
  <c r="K472" i="2"/>
  <c r="K494" i="2" s="1"/>
  <c r="D11" i="56"/>
  <c r="U253" i="2"/>
  <c r="AC478" i="2"/>
  <c r="AC500" i="2" s="1"/>
  <c r="AK253" i="2"/>
  <c r="Y472" i="2"/>
  <c r="Y494" i="2" s="1"/>
  <c r="D25" i="56"/>
  <c r="M475" i="2"/>
  <c r="M497" i="2" s="1"/>
  <c r="E13" i="56"/>
  <c r="Y478" i="2"/>
  <c r="Y500" i="2" s="1"/>
  <c r="F25" i="56"/>
  <c r="N481" i="2"/>
  <c r="N503" i="2" s="1"/>
  <c r="H14" i="56"/>
  <c r="L475" i="2"/>
  <c r="L497" i="2" s="1"/>
  <c r="E12" i="56"/>
  <c r="AA253" i="2"/>
  <c r="F27" i="56"/>
  <c r="T472" i="2"/>
  <c r="T494" i="2" s="1"/>
  <c r="D20" i="56"/>
  <c r="N478" i="2"/>
  <c r="N500" i="2" s="1"/>
  <c r="F14" i="56"/>
  <c r="M15" i="56"/>
  <c r="M29" i="56"/>
  <c r="F475" i="2"/>
  <c r="F497" i="2" s="1"/>
  <c r="E6" i="56"/>
  <c r="L253" i="2"/>
  <c r="AK192" i="2"/>
  <c r="AP481" i="2"/>
  <c r="AP503" i="2" s="1"/>
  <c r="H42" i="56"/>
  <c r="AP475" i="2"/>
  <c r="AP497" i="2" s="1"/>
  <c r="E42" i="56"/>
  <c r="F481" i="2"/>
  <c r="F503" i="2" s="1"/>
  <c r="H6" i="56"/>
  <c r="T475" i="2"/>
  <c r="T497" i="2" s="1"/>
  <c r="E20" i="56"/>
  <c r="N475" i="2"/>
  <c r="N497" i="2" s="1"/>
  <c r="E14" i="56"/>
  <c r="U475" i="2"/>
  <c r="U497" i="2" s="1"/>
  <c r="E21" i="56"/>
  <c r="AP192" i="2"/>
  <c r="AA481" i="2"/>
  <c r="AA503" i="2" s="1"/>
  <c r="H27" i="56"/>
  <c r="M13" i="56"/>
  <c r="Z472" i="2"/>
  <c r="Z494" i="2" s="1"/>
  <c r="D26" i="56"/>
  <c r="L478" i="2"/>
  <c r="L500" i="2" s="1"/>
  <c r="F12" i="56"/>
  <c r="AD475" i="2"/>
  <c r="AD497" i="2" s="1"/>
  <c r="E30" i="56"/>
  <c r="W475" i="2"/>
  <c r="W497" i="2" s="1"/>
  <c r="E23" i="56"/>
  <c r="W192" i="2"/>
  <c r="AK475" i="2"/>
  <c r="AK497" i="2" s="1"/>
  <c r="S475" i="2"/>
  <c r="S497" i="2" s="1"/>
  <c r="E19" i="56"/>
  <c r="R481" i="2"/>
  <c r="R503" i="2" s="1"/>
  <c r="H18" i="56"/>
  <c r="V481" i="2"/>
  <c r="V503" i="2" s="1"/>
  <c r="H22" i="56"/>
  <c r="AB475" i="2"/>
  <c r="AB497" i="2" s="1"/>
  <c r="E28" i="56"/>
  <c r="Q481" i="2"/>
  <c r="Q503" i="2" s="1"/>
  <c r="H17" i="56"/>
  <c r="AD472" i="2"/>
  <c r="AD494" i="2" s="1"/>
  <c r="D30" i="56"/>
  <c r="U481" i="2"/>
  <c r="U503" i="2" s="1"/>
  <c r="H21" i="56"/>
  <c r="M37" i="56"/>
  <c r="M26" i="56"/>
  <c r="M22" i="56"/>
  <c r="M9" i="56"/>
  <c r="K475" i="2"/>
  <c r="K497" i="2" s="1"/>
  <c r="E11" i="56"/>
  <c r="F472" i="2"/>
  <c r="F494" i="2" s="1"/>
  <c r="D6" i="56"/>
  <c r="AB481" i="2"/>
  <c r="AB503" i="2" s="1"/>
  <c r="H28" i="56"/>
  <c r="M14" i="56"/>
  <c r="AK314" i="2"/>
  <c r="J314" i="2"/>
  <c r="H10" i="56"/>
  <c r="K481" i="2"/>
  <c r="K503" i="2" s="1"/>
  <c r="H11" i="56"/>
  <c r="V472" i="2"/>
  <c r="V494" i="2" s="1"/>
  <c r="D22" i="56"/>
  <c r="P478" i="2"/>
  <c r="P500" i="2" s="1"/>
  <c r="F16" i="56"/>
  <c r="Y481" i="2"/>
  <c r="Y503" i="2" s="1"/>
  <c r="H25" i="56"/>
  <c r="F478" i="2"/>
  <c r="F500" i="2" s="1"/>
  <c r="F6" i="56"/>
  <c r="M481" i="2"/>
  <c r="M503" i="2" s="1"/>
  <c r="H13" i="56"/>
  <c r="M10" i="56"/>
  <c r="M12" i="56"/>
  <c r="M17" i="56"/>
  <c r="M21" i="56"/>
  <c r="U478" i="2"/>
  <c r="U500" i="2" s="1"/>
  <c r="F21" i="56"/>
  <c r="V192" i="2"/>
  <c r="J131" i="2"/>
  <c r="AK481" i="2"/>
  <c r="AK503" i="2" s="1"/>
  <c r="W472" i="2"/>
  <c r="W494" i="2" s="1"/>
  <c r="D23" i="56"/>
  <c r="J478" i="2"/>
  <c r="J500" i="2" s="1"/>
  <c r="F10" i="56"/>
  <c r="W481" i="2"/>
  <c r="W503" i="2" s="1"/>
  <c r="H23" i="56"/>
  <c r="Q478" i="2"/>
  <c r="Q500" i="2" s="1"/>
  <c r="F17" i="56"/>
  <c r="X481" i="2"/>
  <c r="X503" i="2" s="1"/>
  <c r="H24" i="56"/>
  <c r="K478" i="2"/>
  <c r="K500" i="2" s="1"/>
  <c r="F11" i="56"/>
  <c r="M478" i="2"/>
  <c r="M500" i="2" s="1"/>
  <c r="F13" i="56"/>
  <c r="T478" i="2"/>
  <c r="T500" i="2" s="1"/>
  <c r="F20" i="56"/>
  <c r="M7" i="56"/>
  <c r="M11" i="56"/>
  <c r="P481" i="2"/>
  <c r="P503" i="2" s="1"/>
  <c r="H16" i="56"/>
  <c r="P472" i="2"/>
  <c r="P494" i="2" s="1"/>
  <c r="D16" i="56"/>
  <c r="V475" i="2"/>
  <c r="V497" i="2" s="1"/>
  <c r="E22" i="56"/>
  <c r="K131" i="2"/>
  <c r="L131" i="2"/>
  <c r="AC253" i="2"/>
  <c r="J472" i="2"/>
  <c r="J494" i="2" s="1"/>
  <c r="Q472" i="2"/>
  <c r="Q494" i="2" s="1"/>
  <c r="D17" i="56"/>
  <c r="AD478" i="2"/>
  <c r="AD500" i="2" s="1"/>
  <c r="F30" i="56"/>
  <c r="S472" i="2"/>
  <c r="S494" i="2" s="1"/>
  <c r="D19" i="56"/>
  <c r="W478" i="2"/>
  <c r="W500" i="2" s="1"/>
  <c r="F23" i="56"/>
  <c r="X478" i="2"/>
  <c r="X500" i="2" s="1"/>
  <c r="F24" i="56"/>
  <c r="G475" i="2"/>
  <c r="G497" i="2" s="1"/>
  <c r="E7" i="56"/>
  <c r="R478" i="2"/>
  <c r="R500" i="2" s="1"/>
  <c r="F18" i="56"/>
  <c r="S478" i="2"/>
  <c r="S500" i="2" s="1"/>
  <c r="F19" i="56"/>
  <c r="Z469" i="2"/>
  <c r="Z491" i="2" s="1"/>
  <c r="C26" i="56"/>
  <c r="V478" i="2"/>
  <c r="V500" i="2" s="1"/>
  <c r="F22" i="56"/>
  <c r="M18" i="56"/>
  <c r="M20" i="56"/>
  <c r="AD35" i="52"/>
  <c r="AE35" i="52" s="1"/>
  <c r="S16" i="52"/>
  <c r="T16" i="52" s="1"/>
  <c r="Z16" i="52" s="1"/>
  <c r="AE16" i="52" s="1"/>
  <c r="AP98" i="2"/>
  <c r="E110" i="55"/>
  <c r="F110" i="55" s="1"/>
  <c r="BL38" i="45"/>
  <c r="BN38" i="45" s="1"/>
  <c r="BP38" i="45" s="1"/>
  <c r="BM49" i="45"/>
  <c r="AP253" i="58" s="1"/>
  <c r="P88" i="54"/>
  <c r="R104" i="2"/>
  <c r="R106" i="2" s="1"/>
  <c r="R108" i="2" s="1"/>
  <c r="E5" i="52"/>
  <c r="E4" i="52" s="1"/>
  <c r="CK28" i="45"/>
  <c r="J32" i="56"/>
  <c r="D28" i="56"/>
  <c r="M8" i="56"/>
  <c r="S469" i="2"/>
  <c r="S491" i="2" s="1"/>
  <c r="C19" i="56"/>
  <c r="AF482" i="2"/>
  <c r="AF504" i="2" s="1"/>
  <c r="N32" i="56"/>
  <c r="S481" i="2"/>
  <c r="S503" i="2" s="1"/>
  <c r="H19" i="56"/>
  <c r="C25" i="56"/>
  <c r="AF479" i="2"/>
  <c r="AF501" i="2" s="1"/>
  <c r="L32" i="56"/>
  <c r="AC472" i="2"/>
  <c r="AC494" i="2" s="1"/>
  <c r="D29" i="56"/>
  <c r="AC469" i="2"/>
  <c r="AC491" i="2" s="1"/>
  <c r="C29" i="56"/>
  <c r="AR478" i="2"/>
  <c r="AR500" i="2" s="1"/>
  <c r="F44" i="56"/>
  <c r="AC475" i="2"/>
  <c r="AC497" i="2" s="1"/>
  <c r="E29" i="56"/>
  <c r="Q469" i="2"/>
  <c r="Q491" i="2" s="1"/>
  <c r="C17" i="56"/>
  <c r="AF476" i="2"/>
  <c r="AF498" i="2" s="1"/>
  <c r="K32" i="56"/>
  <c r="Q314" i="2"/>
  <c r="AL167" i="2"/>
  <c r="AL169" i="2" s="1"/>
  <c r="E38" i="56" s="1"/>
  <c r="AQ23" i="44"/>
  <c r="G98" i="2" s="1"/>
  <c r="AP23" i="44"/>
  <c r="NH17" i="44"/>
  <c r="P436" i="2"/>
  <c r="H436" i="2"/>
  <c r="AI487" i="2"/>
  <c r="AI509" i="2" s="1"/>
  <c r="E26" i="2"/>
  <c r="E29" i="2" s="1"/>
  <c r="AP45" i="2"/>
  <c r="AP47" i="2" s="1"/>
  <c r="IG21" i="44"/>
  <c r="J43" i="54"/>
  <c r="I90" i="54"/>
  <c r="J90" i="54" s="1"/>
  <c r="J41" i="54"/>
  <c r="I89" i="54"/>
  <c r="Q89" i="54" s="1"/>
  <c r="J45" i="54"/>
  <c r="I92" i="54"/>
  <c r="J92" i="54" s="1"/>
  <c r="J14" i="54"/>
  <c r="W25" i="44"/>
  <c r="V23" i="44"/>
  <c r="E88" i="54"/>
  <c r="E94" i="54" s="1"/>
  <c r="J32" i="54"/>
  <c r="W27" i="44"/>
  <c r="CT17" i="44"/>
  <c r="CV17" i="44" s="1"/>
  <c r="CX17" i="44" s="1"/>
  <c r="B85" i="14"/>
  <c r="R43" i="2"/>
  <c r="R45" i="2" s="1"/>
  <c r="R47" i="2" s="1"/>
  <c r="IE21" i="44"/>
  <c r="AR253" i="2"/>
  <c r="AC192" i="2"/>
  <c r="AC131" i="2"/>
  <c r="F484" i="2"/>
  <c r="F506" i="2" s="1"/>
  <c r="G487" i="2"/>
  <c r="G509" i="2" s="1"/>
  <c r="J484" i="2"/>
  <c r="J506" i="2" s="1"/>
  <c r="AA478" i="2"/>
  <c r="AA500" i="2" s="1"/>
  <c r="V253" i="2"/>
  <c r="AP484" i="2"/>
  <c r="AP506" i="2" s="1"/>
  <c r="T131" i="2"/>
  <c r="N314" i="2"/>
  <c r="Y375" i="2"/>
  <c r="Y314" i="2"/>
  <c r="K484" i="2"/>
  <c r="K506" i="2" s="1"/>
  <c r="K253" i="2"/>
  <c r="T192" i="2"/>
  <c r="Q131" i="2"/>
  <c r="N192" i="2"/>
  <c r="AR375" i="2"/>
  <c r="AI484" i="2"/>
  <c r="AI506" i="2" s="1"/>
  <c r="Q253" i="2"/>
  <c r="K192" i="2"/>
  <c r="K314" i="2"/>
  <c r="S487" i="2"/>
  <c r="S509" i="2" s="1"/>
  <c r="L436" i="2"/>
  <c r="J481" i="2"/>
  <c r="J503" i="2" s="1"/>
  <c r="G51" i="52"/>
  <c r="G6" i="52" s="1"/>
  <c r="G4" i="52" s="1"/>
  <c r="I28" i="52"/>
  <c r="E16" i="2"/>
  <c r="L80" i="54" s="1"/>
  <c r="F1" i="51"/>
  <c r="AP226" i="2"/>
  <c r="AP228" i="2" s="1"/>
  <c r="AP230" i="2" s="1"/>
  <c r="BL22" i="45"/>
  <c r="BN19" i="45"/>
  <c r="AL43" i="2"/>
  <c r="BZ20" i="44"/>
  <c r="CD20" i="44"/>
  <c r="CH20" i="44"/>
  <c r="T31" i="52"/>
  <c r="Z31" i="52" s="1"/>
  <c r="AE31" i="52" s="1"/>
  <c r="Z375" i="2"/>
  <c r="S131" i="2"/>
  <c r="S70" i="2"/>
  <c r="S314" i="2"/>
  <c r="Y253" i="2"/>
  <c r="J436" i="2"/>
  <c r="S484" i="2"/>
  <c r="S506" i="2" s="1"/>
  <c r="W314" i="2"/>
  <c r="H484" i="2"/>
  <c r="H506" i="2" s="1"/>
  <c r="O375" i="2"/>
  <c r="W253" i="2"/>
  <c r="AH375" i="2"/>
  <c r="T487" i="2"/>
  <c r="T509" i="2" s="1"/>
  <c r="G375" i="2"/>
  <c r="AE487" i="2"/>
  <c r="AE509" i="2" s="1"/>
  <c r="V436" i="2"/>
  <c r="X487" i="2"/>
  <c r="X509" i="2" s="1"/>
  <c r="AA484" i="2"/>
  <c r="AA506" i="2" s="1"/>
  <c r="O132" i="53"/>
  <c r="OE31" i="44"/>
  <c r="Z436" i="2" s="1"/>
  <c r="M5" i="51"/>
  <c r="BB141" i="2"/>
  <c r="H18" i="1" s="1"/>
  <c r="R5" i="51" s="1"/>
  <c r="BB202" i="2"/>
  <c r="J18" i="1" s="1"/>
  <c r="Q91" i="54"/>
  <c r="O71" i="44"/>
  <c r="BB348" i="2"/>
  <c r="BC348" i="2" s="1"/>
  <c r="AC70" i="2"/>
  <c r="UY27" i="44"/>
  <c r="BB321" i="2"/>
  <c r="BC321" i="2" s="1"/>
  <c r="D382" i="2" s="1"/>
  <c r="D386" i="2" s="1"/>
  <c r="L85" i="54"/>
  <c r="AG436" i="2"/>
  <c r="J253" i="2"/>
  <c r="S192" i="2"/>
  <c r="R487" i="2"/>
  <c r="R509" i="2" s="1"/>
  <c r="I375" i="2"/>
  <c r="AQ436" i="2"/>
  <c r="AB436" i="2"/>
  <c r="K487" i="2"/>
  <c r="K509" i="2" s="1"/>
  <c r="W131" i="2"/>
  <c r="Q484" i="2"/>
  <c r="Q506" i="2" s="1"/>
  <c r="W375" i="2"/>
  <c r="U375" i="2"/>
  <c r="AH436" i="2"/>
  <c r="N375" i="2"/>
  <c r="AA436" i="2"/>
  <c r="AC436" i="2"/>
  <c r="N487" i="2"/>
  <c r="N509" i="2" s="1"/>
  <c r="N436" i="2"/>
  <c r="M487" i="2"/>
  <c r="M509" i="2" s="1"/>
  <c r="U436" i="2"/>
  <c r="D395" i="2"/>
  <c r="Q436" i="2"/>
  <c r="R375" i="2"/>
  <c r="N28" i="1"/>
  <c r="AB375" i="2"/>
  <c r="W436" i="2"/>
  <c r="AE484" i="2"/>
  <c r="AE506" i="2" s="1"/>
  <c r="AE375" i="2"/>
  <c r="L375" i="2"/>
  <c r="T484" i="2"/>
  <c r="T506" i="2" s="1"/>
  <c r="T375" i="2"/>
  <c r="AC375" i="2"/>
  <c r="AC484" i="2"/>
  <c r="AC506" i="2" s="1"/>
  <c r="AQ375" i="2"/>
  <c r="AQ484" i="2"/>
  <c r="AQ506" i="2" s="1"/>
  <c r="Q58" i="1"/>
  <c r="AG484" i="2"/>
  <c r="AG506" i="2" s="1"/>
  <c r="AG375" i="2"/>
  <c r="X484" i="2"/>
  <c r="X506" i="2" s="1"/>
  <c r="X375" i="2"/>
  <c r="F487" i="2"/>
  <c r="F509" i="2" s="1"/>
  <c r="F436" i="2"/>
  <c r="BC395" i="2"/>
  <c r="P375" i="2"/>
  <c r="M484" i="2"/>
  <c r="M506" i="2" s="1"/>
  <c r="M375" i="2"/>
  <c r="AP487" i="2"/>
  <c r="AP509" i="2" s="1"/>
  <c r="AP436" i="2"/>
  <c r="BC334" i="2"/>
  <c r="AF436" i="2"/>
  <c r="AF487" i="2"/>
  <c r="AF509" i="2" s="1"/>
  <c r="AO23" i="44"/>
  <c r="H65" i="44"/>
  <c r="O11" i="52"/>
  <c r="T11" i="52" s="1"/>
  <c r="AN23" i="44"/>
  <c r="BB77" i="2"/>
  <c r="F15" i="1" s="1"/>
  <c r="AR23" i="44"/>
  <c r="BB138" i="2"/>
  <c r="H15" i="1" s="1"/>
  <c r="E142" i="2"/>
  <c r="D62" i="14" s="1"/>
  <c r="D66" i="14" s="1"/>
  <c r="I65" i="44"/>
  <c r="Z44" i="44"/>
  <c r="Z55" i="44"/>
  <c r="Z43" i="44"/>
  <c r="Z51" i="44"/>
  <c r="Z52" i="44"/>
  <c r="Z49" i="44"/>
  <c r="Z57" i="44"/>
  <c r="F35" i="2"/>
  <c r="Z56" i="44"/>
  <c r="Z26" i="44"/>
  <c r="Z23" i="44"/>
  <c r="Z19" i="44"/>
  <c r="Z29" i="44"/>
  <c r="Z18" i="44"/>
  <c r="Z28" i="44"/>
  <c r="Z22" i="44"/>
  <c r="Z21" i="44"/>
  <c r="Z24" i="44"/>
  <c r="Z25" i="44"/>
  <c r="Z27" i="44"/>
  <c r="Z32" i="44"/>
  <c r="AB20" i="44"/>
  <c r="L65" i="44"/>
  <c r="N65" i="44"/>
  <c r="F65" i="44"/>
  <c r="E19" i="2"/>
  <c r="E382" i="2"/>
  <c r="Q56" i="44"/>
  <c r="Q69" i="44" s="1"/>
  <c r="Q70" i="44" s="1"/>
  <c r="E409" i="58" s="1"/>
  <c r="IH18" i="44"/>
  <c r="IH20" i="44" s="1"/>
  <c r="IH21" i="44" s="1"/>
  <c r="X253" i="2"/>
  <c r="X314" i="2"/>
  <c r="IF20" i="44"/>
  <c r="IF21" i="44" s="1"/>
  <c r="E352" i="2"/>
  <c r="E484" i="2" s="1"/>
  <c r="E506" i="2" s="1"/>
  <c r="DN21" i="44"/>
  <c r="DP21" i="44" s="1"/>
  <c r="DR21" i="44" s="1"/>
  <c r="NN21" i="44"/>
  <c r="NM22" i="44"/>
  <c r="NW29" i="44"/>
  <c r="I436" i="2"/>
  <c r="NV31" i="44"/>
  <c r="IJ18" i="44"/>
  <c r="IJ20" i="44" s="1"/>
  <c r="IJ21" i="44" s="1"/>
  <c r="O487" i="2"/>
  <c r="O509" i="2" s="1"/>
  <c r="O436" i="2"/>
  <c r="D420" i="2"/>
  <c r="BC365" i="2"/>
  <c r="I44" i="17"/>
  <c r="K43" i="17"/>
  <c r="I58" i="17"/>
  <c r="K58" i="17"/>
  <c r="N58" i="1"/>
  <c r="M37" i="44"/>
  <c r="AB472" i="2"/>
  <c r="AB494" i="2" s="1"/>
  <c r="AF473" i="2"/>
  <c r="AF495" i="2" s="1"/>
  <c r="AF478" i="2"/>
  <c r="AF500" i="2" s="1"/>
  <c r="AD479" i="2"/>
  <c r="AD501" i="2" s="1"/>
  <c r="J469" i="2"/>
  <c r="J491" i="2" s="1"/>
  <c r="W470" i="2"/>
  <c r="W492" i="2" s="1"/>
  <c r="AF475" i="2"/>
  <c r="AF497" i="2" s="1"/>
  <c r="K19" i="6"/>
  <c r="SD30" i="44"/>
  <c r="AF253" i="2" s="1"/>
  <c r="BC89" i="2"/>
  <c r="BC150" i="2" s="1"/>
  <c r="D211" i="2" s="1"/>
  <c r="BC211" i="2" s="1"/>
  <c r="D272" i="2" s="1"/>
  <c r="BC272" i="2" s="1"/>
  <c r="SB30" i="44"/>
  <c r="AF192" i="2" s="1"/>
  <c r="SF30" i="44"/>
  <c r="AF287" i="2"/>
  <c r="AF289" i="2" s="1"/>
  <c r="AF291" i="2" s="1"/>
  <c r="H32" i="56" s="1"/>
  <c r="RZ30" i="44"/>
  <c r="AF104" i="2"/>
  <c r="AF106" i="2" s="1"/>
  <c r="AF108" i="2" s="1"/>
  <c r="SC28" i="44"/>
  <c r="SC30" i="44" s="1"/>
  <c r="CB20" i="44"/>
  <c r="JB19" i="44"/>
  <c r="JD17" i="44"/>
  <c r="SE28" i="44"/>
  <c r="SE30" i="44" s="1"/>
  <c r="NU31" i="44"/>
  <c r="NR30" i="44"/>
  <c r="X192" i="2"/>
  <c r="IL18" i="44"/>
  <c r="IN16" i="44"/>
  <c r="IN18" i="44" s="1"/>
  <c r="IZ21" i="44"/>
  <c r="IZ22" i="44" s="1"/>
  <c r="NS31" i="44"/>
  <c r="UW27" i="44"/>
  <c r="AL104" i="2"/>
  <c r="AL106" i="2" s="1"/>
  <c r="AL108" i="2" s="1"/>
  <c r="NT30" i="44"/>
  <c r="SE35" i="44"/>
  <c r="AQ203" i="2"/>
  <c r="K26" i="1"/>
  <c r="C26" i="17" s="1"/>
  <c r="E26" i="17" s="1"/>
  <c r="U17" i="17"/>
  <c r="W17" i="17" s="1"/>
  <c r="U27" i="17"/>
  <c r="W27" i="17" s="1"/>
  <c r="W70" i="2"/>
  <c r="K39" i="1"/>
  <c r="PD33" i="44"/>
  <c r="FL18" i="44"/>
  <c r="BZ28" i="45"/>
  <c r="W37" i="44"/>
  <c r="PG35" i="44"/>
  <c r="AB192" i="2" s="1"/>
  <c r="EU19" i="44"/>
  <c r="AQ142" i="2"/>
  <c r="N37" i="2"/>
  <c r="GV26" i="44"/>
  <c r="GX26" i="44" s="1"/>
  <c r="GZ26" i="44" s="1"/>
  <c r="HB26" i="44" s="1"/>
  <c r="HD26" i="44" s="1"/>
  <c r="HD28" i="44" s="1"/>
  <c r="NA22" i="44"/>
  <c r="Q70" i="2"/>
  <c r="UA22" i="44"/>
  <c r="UB22" i="44" s="1"/>
  <c r="PE53" i="44"/>
  <c r="BC101" i="2"/>
  <c r="K45" i="2"/>
  <c r="K47" i="2" s="1"/>
  <c r="C11" i="56" s="1"/>
  <c r="PF24" i="44"/>
  <c r="ED16" i="44"/>
  <c r="EF16" i="44" s="1"/>
  <c r="LI33" i="44"/>
  <c r="LA33" i="44"/>
  <c r="V37" i="44"/>
  <c r="W1" i="51"/>
  <c r="D56" i="44"/>
  <c r="Y37" i="44"/>
  <c r="CQ20" i="44"/>
  <c r="J70" i="2" s="1"/>
  <c r="Z22" i="52"/>
  <c r="AE22" i="52" s="1"/>
  <c r="NB21" i="44"/>
  <c r="NB22" i="44" s="1"/>
  <c r="ND22" i="44" s="1"/>
  <c r="NF22" i="44" s="1"/>
  <c r="NH22" i="44" s="1"/>
  <c r="NJ22" i="44" s="1"/>
  <c r="ES19" i="44"/>
  <c r="AD253" i="2"/>
  <c r="BC149" i="2"/>
  <c r="D210" i="2" s="1"/>
  <c r="BC210" i="2" s="1"/>
  <c r="D271" i="2" s="1"/>
  <c r="BC271" i="2" s="1"/>
  <c r="D88" i="2"/>
  <c r="K16" i="1"/>
  <c r="C16" i="17" s="1"/>
  <c r="E16" i="17" s="1"/>
  <c r="BC79" i="2"/>
  <c r="BC140" i="2" s="1"/>
  <c r="D201" i="2" s="1"/>
  <c r="BC201" i="2" s="1"/>
  <c r="D262" i="2" s="1"/>
  <c r="BC262" i="2" s="1"/>
  <c r="PG53" i="44"/>
  <c r="T32" i="51"/>
  <c r="R47" i="51"/>
  <c r="R6" i="51" s="1"/>
  <c r="AC37" i="44"/>
  <c r="D86" i="2"/>
  <c r="BC86" i="2"/>
  <c r="FJ23" i="44"/>
  <c r="CR19" i="44"/>
  <c r="GY28" i="44"/>
  <c r="FL20" i="44"/>
  <c r="FN20" i="44" s="1"/>
  <c r="AA37" i="44"/>
  <c r="DH22" i="44"/>
  <c r="BZ44" i="45"/>
  <c r="BZ46" i="45" s="1"/>
  <c r="BZ47" i="45" s="1"/>
  <c r="CB32" i="45"/>
  <c r="AE19" i="52"/>
  <c r="BC78" i="2"/>
  <c r="D78" i="2"/>
  <c r="MK34" i="44"/>
  <c r="MK36" i="44" s="1"/>
  <c r="X131" i="2" s="1"/>
  <c r="L43" i="2"/>
  <c r="L45" i="2" s="1"/>
  <c r="L47" i="2" s="1"/>
  <c r="C12" i="56" s="1"/>
  <c r="EA21" i="44"/>
  <c r="EB20" i="44"/>
  <c r="C19" i="1"/>
  <c r="Y47" i="51"/>
  <c r="Y6" i="51" s="1"/>
  <c r="E56" i="44"/>
  <c r="LG33" i="44"/>
  <c r="Z42" i="44"/>
  <c r="EZ19" i="44"/>
  <c r="FB17" i="44"/>
  <c r="FB19" i="44" s="1"/>
  <c r="EX23" i="44"/>
  <c r="EX25" i="44" s="1"/>
  <c r="EX27" i="44" s="1"/>
  <c r="FP17" i="44"/>
  <c r="FN18" i="44"/>
  <c r="BY46" i="45"/>
  <c r="AQ43" i="2" s="1"/>
  <c r="AQ41" i="2"/>
  <c r="EH19" i="44"/>
  <c r="X69" i="44"/>
  <c r="ET23" i="44"/>
  <c r="ET25" i="44" s="1"/>
  <c r="ET27" i="44" s="1"/>
  <c r="ES21" i="44"/>
  <c r="ES23" i="44" s="1"/>
  <c r="EU21" i="44"/>
  <c r="EU23" i="44" s="1"/>
  <c r="EV23" i="44"/>
  <c r="EV25" i="44" s="1"/>
  <c r="EV27" i="44" s="1"/>
  <c r="C27" i="17"/>
  <c r="E27" i="17" s="1"/>
  <c r="M27" i="1"/>
  <c r="I24" i="1"/>
  <c r="QQ19" i="44"/>
  <c r="QS18" i="44"/>
  <c r="KJ16" i="44"/>
  <c r="KH17" i="44"/>
  <c r="LR22" i="44"/>
  <c r="LT18" i="44"/>
  <c r="AK20" i="2"/>
  <c r="H4" i="51"/>
  <c r="BB191" i="2"/>
  <c r="BB252" i="2"/>
  <c r="E2" i="17"/>
  <c r="BC130" i="2"/>
  <c r="D10" i="46"/>
  <c r="BB374" i="2"/>
  <c r="BC313" i="2"/>
  <c r="BB435" i="2"/>
  <c r="BB130" i="2"/>
  <c r="BC374" i="2"/>
  <c r="BC252" i="2"/>
  <c r="C13" i="6"/>
  <c r="BC191" i="2"/>
  <c r="BC435" i="2"/>
  <c r="BB313" i="2"/>
  <c r="O13" i="52"/>
  <c r="DJ19" i="44"/>
  <c r="DJ22" i="44" s="1"/>
  <c r="DL18" i="44"/>
  <c r="AD304" i="2"/>
  <c r="CD17" i="45"/>
  <c r="AD33" i="51"/>
  <c r="AB47" i="51"/>
  <c r="AB6" i="51" s="1"/>
  <c r="AQ81" i="2"/>
  <c r="M17" i="1"/>
  <c r="F17" i="17" s="1"/>
  <c r="H17" i="17" s="1"/>
  <c r="C17" i="17"/>
  <c r="E17" i="17" s="1"/>
  <c r="EZ23" i="44"/>
  <c r="FB21" i="44"/>
  <c r="FB23" i="44" s="1"/>
  <c r="PI52" i="44"/>
  <c r="AB226" i="2" s="1"/>
  <c r="AB228" i="2" s="1"/>
  <c r="AB230" i="2" s="1"/>
  <c r="PF33" i="44"/>
  <c r="HN18" i="44"/>
  <c r="HP16" i="44"/>
  <c r="Z17" i="44"/>
  <c r="X33" i="44"/>
  <c r="X68" i="44"/>
  <c r="X37" i="44"/>
  <c r="O33" i="51"/>
  <c r="M47" i="51"/>
  <c r="M6" i="51" s="1"/>
  <c r="F16" i="2"/>
  <c r="H2" i="17"/>
  <c r="D13" i="6"/>
  <c r="E10" i="46"/>
  <c r="AD110" i="2"/>
  <c r="J30" i="56" s="1"/>
  <c r="BB263" i="2"/>
  <c r="AQ264" i="2"/>
  <c r="U43" i="2"/>
  <c r="U45" i="2" s="1"/>
  <c r="U47" i="2" s="1"/>
  <c r="KG20" i="44"/>
  <c r="AD182" i="2"/>
  <c r="HC26" i="44"/>
  <c r="HC28" i="44" s="1"/>
  <c r="HA28" i="44"/>
  <c r="PH33" i="44"/>
  <c r="KF19" i="44"/>
  <c r="KF20" i="44" s="1"/>
  <c r="PL38" i="44"/>
  <c r="PL31" i="44"/>
  <c r="PF18" i="44"/>
  <c r="BB409" i="58" l="1"/>
  <c r="E411" i="58"/>
  <c r="E413" i="58" s="1"/>
  <c r="Y70" i="2"/>
  <c r="Y70" i="58"/>
  <c r="V314" i="2"/>
  <c r="V314" i="58"/>
  <c r="Y64" i="58"/>
  <c r="V131" i="2"/>
  <c r="V131" i="58"/>
  <c r="V375" i="2"/>
  <c r="V375" i="58"/>
  <c r="BB348" i="58"/>
  <c r="E350" i="58"/>
  <c r="E352" i="58" s="1"/>
  <c r="E375" i="58"/>
  <c r="M20" i="6"/>
  <c r="B13" i="3"/>
  <c r="C12" i="3"/>
  <c r="I9" i="2"/>
  <c r="H11" i="3" s="1"/>
  <c r="CH4" i="44"/>
  <c r="E80" i="2"/>
  <c r="G56" i="44"/>
  <c r="G65" i="44" s="1"/>
  <c r="Y11" i="52"/>
  <c r="Z11" i="52" s="1"/>
  <c r="L89" i="54"/>
  <c r="D94" i="54"/>
  <c r="J44" i="57"/>
  <c r="E1" i="3"/>
  <c r="E81" i="3"/>
  <c r="E82" i="3" s="1"/>
  <c r="E83" i="3" s="1"/>
  <c r="E84" i="3" s="1"/>
  <c r="E85" i="3" s="1"/>
  <c r="E86" i="3" s="1"/>
  <c r="E87" i="3" s="1"/>
  <c r="E88" i="3" s="1"/>
  <c r="E89" i="3" s="1"/>
  <c r="F60" i="1"/>
  <c r="G60" i="1" s="1"/>
  <c r="H60" i="1" s="1"/>
  <c r="I60" i="1" s="1"/>
  <c r="J60" i="1" s="1"/>
  <c r="G10" i="56"/>
  <c r="L4" i="52"/>
  <c r="L1" i="52"/>
  <c r="W2" i="52"/>
  <c r="W1" i="52"/>
  <c r="W4" i="52"/>
  <c r="J60" i="54"/>
  <c r="J77" i="54" s="1"/>
  <c r="S15" i="52"/>
  <c r="T15" i="52" s="1"/>
  <c r="Z15" i="52" s="1"/>
  <c r="AE15" i="52" s="1"/>
  <c r="FL21" i="44"/>
  <c r="FN21" i="44" s="1"/>
  <c r="FP21" i="44" s="1"/>
  <c r="FR21" i="44" s="1"/>
  <c r="FT21" i="44" s="1"/>
  <c r="G11" i="56"/>
  <c r="N43" i="2"/>
  <c r="N45" i="2" s="1"/>
  <c r="N47" i="2" s="1"/>
  <c r="G23" i="56"/>
  <c r="AL475" i="2"/>
  <c r="AL497" i="2" s="1"/>
  <c r="G12" i="56"/>
  <c r="G19" i="56"/>
  <c r="G25" i="56"/>
  <c r="G17" i="56"/>
  <c r="G30" i="56"/>
  <c r="Q4" i="52"/>
  <c r="Q1" i="52"/>
  <c r="Q2" i="52"/>
  <c r="Y12" i="52"/>
  <c r="Z12" i="52" s="1"/>
  <c r="AK37" i="2"/>
  <c r="AL45" i="2"/>
  <c r="AL47" i="2" s="1"/>
  <c r="C42" i="56"/>
  <c r="NJ17" i="44"/>
  <c r="D32" i="56"/>
  <c r="G32" i="56" s="1"/>
  <c r="M32" i="56"/>
  <c r="G29" i="56"/>
  <c r="AL472" i="2"/>
  <c r="AL494" i="2" s="1"/>
  <c r="D38" i="56"/>
  <c r="AB478" i="2"/>
  <c r="AB500" i="2" s="1"/>
  <c r="F28" i="56"/>
  <c r="AP478" i="2"/>
  <c r="AP500" i="2" s="1"/>
  <c r="F42" i="56"/>
  <c r="AL184" i="2"/>
  <c r="AL123" i="2"/>
  <c r="AO184" i="2"/>
  <c r="AO186" i="2" s="1"/>
  <c r="AN184" i="2"/>
  <c r="AK184" i="2"/>
  <c r="AK186" i="2" s="1"/>
  <c r="AO123" i="2"/>
  <c r="AO125" i="2" s="1"/>
  <c r="AN123" i="2"/>
  <c r="AN245" i="2"/>
  <c r="AM184" i="2"/>
  <c r="AM186" i="2" s="1"/>
  <c r="AK306" i="2"/>
  <c r="AK308" i="2" s="1"/>
  <c r="AO306" i="2"/>
  <c r="AO308" i="2" s="1"/>
  <c r="AN306" i="2"/>
  <c r="AM306" i="2"/>
  <c r="AM308" i="2" s="1"/>
  <c r="AL306" i="2"/>
  <c r="U469" i="2"/>
  <c r="U491" i="2" s="1"/>
  <c r="C21" i="56"/>
  <c r="G21" i="56" s="1"/>
  <c r="R469" i="2"/>
  <c r="R491" i="2" s="1"/>
  <c r="C18" i="56"/>
  <c r="R472" i="2"/>
  <c r="R494" i="2" s="1"/>
  <c r="D18" i="56"/>
  <c r="L50" i="48"/>
  <c r="NH18" i="44"/>
  <c r="U50" i="44"/>
  <c r="V76" i="44"/>
  <c r="E74" i="55"/>
  <c r="W76" i="44"/>
  <c r="R131" i="2"/>
  <c r="AP469" i="2"/>
  <c r="AP491" i="2" s="1"/>
  <c r="E82" i="55"/>
  <c r="Q90" i="54"/>
  <c r="Q92" i="54"/>
  <c r="I94" i="54"/>
  <c r="J89" i="54"/>
  <c r="V25" i="44"/>
  <c r="V27" i="44"/>
  <c r="W69" i="44"/>
  <c r="J88" i="54"/>
  <c r="W33" i="44"/>
  <c r="G37" i="2"/>
  <c r="L52" i="48"/>
  <c r="R70" i="2"/>
  <c r="M39" i="1"/>
  <c r="F39" i="17" s="1"/>
  <c r="H39" i="17" s="1"/>
  <c r="J28" i="52"/>
  <c r="I51" i="52"/>
  <c r="I6" i="52" s="1"/>
  <c r="G1" i="52"/>
  <c r="G2" i="52"/>
  <c r="E98" i="2"/>
  <c r="E159" i="2"/>
  <c r="AP253" i="2"/>
  <c r="BP19" i="45"/>
  <c r="BP22" i="45" s="1"/>
  <c r="BN22" i="45"/>
  <c r="N42" i="1"/>
  <c r="N44" i="1" s="1"/>
  <c r="BB350" i="2"/>
  <c r="AN62" i="2"/>
  <c r="AO245" i="2"/>
  <c r="AO247" i="2" s="1"/>
  <c r="AO62" i="2"/>
  <c r="AO64" i="2" s="1"/>
  <c r="H19" i="1"/>
  <c r="T5" i="51"/>
  <c r="BC325" i="2"/>
  <c r="Z69" i="44"/>
  <c r="N15" i="1"/>
  <c r="N19" i="1" s="1"/>
  <c r="BB325" i="2"/>
  <c r="E5" i="51"/>
  <c r="E375" i="2"/>
  <c r="BB142" i="2"/>
  <c r="M56" i="44"/>
  <c r="E260" i="2"/>
  <c r="L84" i="54" s="1"/>
  <c r="D150" i="2"/>
  <c r="M80" i="54"/>
  <c r="AB52" i="44"/>
  <c r="AB49" i="44"/>
  <c r="AB51" i="44"/>
  <c r="AB55" i="44"/>
  <c r="AB56" i="44"/>
  <c r="AB57" i="44"/>
  <c r="AB43" i="44"/>
  <c r="AB44" i="44"/>
  <c r="AB27" i="44"/>
  <c r="AB22" i="44"/>
  <c r="AB29" i="44"/>
  <c r="AB25" i="44"/>
  <c r="AB19" i="44"/>
  <c r="AD20" i="44"/>
  <c r="AB24" i="44"/>
  <c r="AB28" i="44"/>
  <c r="AB23" i="44"/>
  <c r="AB32" i="44"/>
  <c r="AB21" i="44"/>
  <c r="AB18" i="44"/>
  <c r="AB26" i="44"/>
  <c r="E20" i="2"/>
  <c r="B62" i="14" s="1"/>
  <c r="B66" i="14" s="1"/>
  <c r="J11" i="51"/>
  <c r="E47" i="51"/>
  <c r="E6" i="51" s="1"/>
  <c r="Q71" i="44"/>
  <c r="E436" i="58" s="1"/>
  <c r="E409" i="2"/>
  <c r="BB382" i="2"/>
  <c r="BC382" i="2" s="1"/>
  <c r="BC386" i="2" s="1"/>
  <c r="E386" i="2"/>
  <c r="NW30" i="44"/>
  <c r="Y436" i="2"/>
  <c r="NN22" i="44"/>
  <c r="O85" i="1"/>
  <c r="BC377" i="2"/>
  <c r="BC354" i="2"/>
  <c r="BC485" i="2" s="1"/>
  <c r="BC507" i="2" s="1"/>
  <c r="D426" i="2"/>
  <c r="BC420" i="2"/>
  <c r="BC426" i="2" s="1"/>
  <c r="L469" i="2"/>
  <c r="L491" i="2" s="1"/>
  <c r="AF481" i="2"/>
  <c r="AF503" i="2" s="1"/>
  <c r="AD473" i="2"/>
  <c r="AD495" i="2" s="1"/>
  <c r="K70" i="2"/>
  <c r="K469" i="2"/>
  <c r="K491" i="2" s="1"/>
  <c r="AF472" i="2"/>
  <c r="AF494" i="2" s="1"/>
  <c r="AF314" i="2"/>
  <c r="AF131" i="2"/>
  <c r="AM123" i="2"/>
  <c r="AM125" i="2" s="1"/>
  <c r="AL62" i="2"/>
  <c r="AM62" i="2"/>
  <c r="AM64" i="2" s="1"/>
  <c r="AM245" i="2"/>
  <c r="AM247" i="2" s="1"/>
  <c r="NR31" i="44"/>
  <c r="Z70" i="2"/>
  <c r="Z131" i="2"/>
  <c r="IN20" i="44"/>
  <c r="IN21" i="44" s="1"/>
  <c r="NT31" i="44"/>
  <c r="IL20" i="44"/>
  <c r="IL21" i="44" s="1"/>
  <c r="JD19" i="44"/>
  <c r="JF17" i="44"/>
  <c r="JF19" i="44" s="1"/>
  <c r="JB21" i="44"/>
  <c r="JB22" i="44" s="1"/>
  <c r="SG35" i="44"/>
  <c r="M26" i="1"/>
  <c r="F26" i="17" s="1"/>
  <c r="H26" i="17" s="1"/>
  <c r="D409" i="2"/>
  <c r="D411" i="2" s="1"/>
  <c r="D413" i="2" s="1"/>
  <c r="BC350" i="2"/>
  <c r="D65" i="44"/>
  <c r="AJ306" i="2"/>
  <c r="AI306" i="2"/>
  <c r="AH306" i="2"/>
  <c r="AG306" i="2"/>
  <c r="ND21" i="44"/>
  <c r="NF21" i="44" s="1"/>
  <c r="NH21" i="44" s="1"/>
  <c r="NJ21" i="44" s="1"/>
  <c r="AJ245" i="2"/>
  <c r="AI184" i="2"/>
  <c r="AI245" i="2"/>
  <c r="AH245" i="2"/>
  <c r="AJ184" i="2"/>
  <c r="AG245" i="2"/>
  <c r="AG184" i="2"/>
  <c r="AH184" i="2"/>
  <c r="AJ123" i="2"/>
  <c r="AI123" i="2"/>
  <c r="AH123" i="2"/>
  <c r="C39" i="17"/>
  <c r="E39" i="17" s="1"/>
  <c r="M16" i="1"/>
  <c r="F16" i="17" s="1"/>
  <c r="H16" i="17" s="1"/>
  <c r="GZ28" i="44"/>
  <c r="GV28" i="44"/>
  <c r="GV30" i="44" s="1"/>
  <c r="GX30" i="44" s="1"/>
  <c r="R4" i="51"/>
  <c r="GX28" i="44"/>
  <c r="HB28" i="44"/>
  <c r="BY47" i="45"/>
  <c r="D162" i="2"/>
  <c r="BE101" i="2"/>
  <c r="BC162" i="2"/>
  <c r="D223" i="2" s="1"/>
  <c r="BC223" i="2" s="1"/>
  <c r="D284" i="2" s="1"/>
  <c r="BC284" i="2" s="1"/>
  <c r="ED17" i="44"/>
  <c r="PH24" i="44"/>
  <c r="AD131" i="2"/>
  <c r="D140" i="2"/>
  <c r="BC147" i="2"/>
  <c r="D208" i="2" s="1"/>
  <c r="BC208" i="2" s="1"/>
  <c r="D269" i="2" s="1"/>
  <c r="BC269" i="2" s="1"/>
  <c r="D147" i="2"/>
  <c r="R2" i="51"/>
  <c r="R1" i="51"/>
  <c r="U32" i="51"/>
  <c r="Z32" i="51" s="1"/>
  <c r="AE32" i="51" s="1"/>
  <c r="T47" i="51"/>
  <c r="T6" i="51" s="1"/>
  <c r="Y5" i="51"/>
  <c r="Y4" i="51" s="1"/>
  <c r="W5" i="51"/>
  <c r="W4" i="51" s="1"/>
  <c r="CT19" i="44"/>
  <c r="CR20" i="44"/>
  <c r="CZ17" i="44"/>
  <c r="D139" i="2"/>
  <c r="BC139" i="2"/>
  <c r="D200" i="2" s="1"/>
  <c r="BC200" i="2" s="1"/>
  <c r="D261" i="2" s="1"/>
  <c r="BC261" i="2" s="1"/>
  <c r="E65" i="44"/>
  <c r="FR17" i="44"/>
  <c r="FP18" i="44"/>
  <c r="EJ19" i="44"/>
  <c r="PI53" i="44"/>
  <c r="ED20" i="44"/>
  <c r="EB21" i="44"/>
  <c r="L70" i="2"/>
  <c r="AQ45" i="2"/>
  <c r="AQ47" i="2" s="1"/>
  <c r="Y1" i="51"/>
  <c r="Y2" i="51"/>
  <c r="CD32" i="45"/>
  <c r="BB16" i="2"/>
  <c r="AB42" i="44"/>
  <c r="EU25" i="44"/>
  <c r="M104" i="2" s="1"/>
  <c r="M98" i="2"/>
  <c r="ES25" i="44"/>
  <c r="M37" i="2"/>
  <c r="U24" i="17"/>
  <c r="K24" i="1"/>
  <c r="F27" i="17"/>
  <c r="H27" i="17" s="1"/>
  <c r="O27" i="1"/>
  <c r="L18" i="1"/>
  <c r="P306" i="2"/>
  <c r="P308" i="2" s="1"/>
  <c r="L428" i="2"/>
  <c r="L430" i="2" s="1"/>
  <c r="F428" i="2"/>
  <c r="F430" i="2" s="1"/>
  <c r="F367" i="2"/>
  <c r="F369" i="2" s="1"/>
  <c r="W367" i="2"/>
  <c r="W369" i="2" s="1"/>
  <c r="AP367" i="2"/>
  <c r="AP369" i="2" s="1"/>
  <c r="AE306" i="2"/>
  <c r="Y367" i="2"/>
  <c r="Y369" i="2" s="1"/>
  <c r="O367" i="2"/>
  <c r="O369" i="2" s="1"/>
  <c r="N306" i="2"/>
  <c r="N308" i="2" s="1"/>
  <c r="AE428" i="2"/>
  <c r="AE430" i="2" s="1"/>
  <c r="AA367" i="2"/>
  <c r="AA369" i="2" s="1"/>
  <c r="T428" i="2"/>
  <c r="T430" i="2" s="1"/>
  <c r="AC428" i="2"/>
  <c r="AC430" i="2" s="1"/>
  <c r="AI367" i="2"/>
  <c r="AI369" i="2" s="1"/>
  <c r="AR306" i="2"/>
  <c r="AS306" i="2" s="1"/>
  <c r="AS308" i="2" s="1"/>
  <c r="AG428" i="2"/>
  <c r="AG430" i="2" s="1"/>
  <c r="M306" i="2"/>
  <c r="M308" i="2" s="1"/>
  <c r="G428" i="2"/>
  <c r="G430" i="2" s="1"/>
  <c r="R306" i="2"/>
  <c r="R308" i="2" s="1"/>
  <c r="AR428" i="2"/>
  <c r="AR430" i="2" s="1"/>
  <c r="AB306" i="2"/>
  <c r="AB308" i="2" s="1"/>
  <c r="R428" i="2"/>
  <c r="R430" i="2" s="1"/>
  <c r="AI428" i="2"/>
  <c r="AI430" i="2" s="1"/>
  <c r="U428" i="2"/>
  <c r="U430" i="2" s="1"/>
  <c r="V428" i="2"/>
  <c r="V430" i="2" s="1"/>
  <c r="R367" i="2"/>
  <c r="R369" i="2" s="1"/>
  <c r="AD428" i="2"/>
  <c r="AD430" i="2" s="1"/>
  <c r="AB428" i="2"/>
  <c r="AB430" i="2" s="1"/>
  <c r="U306" i="2"/>
  <c r="U308" i="2" s="1"/>
  <c r="E428" i="2"/>
  <c r="AR367" i="2"/>
  <c r="AR369" i="2" s="1"/>
  <c r="Z306" i="2"/>
  <c r="E306" i="2"/>
  <c r="O428" i="2"/>
  <c r="O430" i="2" s="1"/>
  <c r="AC306" i="2"/>
  <c r="AC308" i="2" s="1"/>
  <c r="W428" i="2"/>
  <c r="W430" i="2" s="1"/>
  <c r="S367" i="2"/>
  <c r="S369" i="2" s="1"/>
  <c r="J367" i="2"/>
  <c r="J369" i="2" s="1"/>
  <c r="W306" i="2"/>
  <c r="W308" i="2" s="1"/>
  <c r="S428" i="2"/>
  <c r="S430" i="2" s="1"/>
  <c r="AF306" i="2"/>
  <c r="AF308" i="2" s="1"/>
  <c r="AH367" i="2"/>
  <c r="AH369" i="2" s="1"/>
  <c r="AQ367" i="2"/>
  <c r="AQ369" i="2" s="1"/>
  <c r="S306" i="2"/>
  <c r="S308" i="2" s="1"/>
  <c r="H428" i="2"/>
  <c r="H430" i="2" s="1"/>
  <c r="G306" i="2"/>
  <c r="G308" i="2" s="1"/>
  <c r="X428" i="2"/>
  <c r="X430" i="2" s="1"/>
  <c r="Y306" i="2"/>
  <c r="Y308" i="2" s="1"/>
  <c r="N367" i="2"/>
  <c r="N369" i="2" s="1"/>
  <c r="T367" i="2"/>
  <c r="T369" i="2" s="1"/>
  <c r="AG367" i="2"/>
  <c r="AG369" i="2" s="1"/>
  <c r="AD306" i="2"/>
  <c r="AD308" i="2" s="1"/>
  <c r="X306" i="2"/>
  <c r="X308" i="2" s="1"/>
  <c r="Q428" i="2"/>
  <c r="Q430" i="2" s="1"/>
  <c r="K306" i="2"/>
  <c r="K308" i="2" s="1"/>
  <c r="J306" i="2"/>
  <c r="J308" i="2" s="1"/>
  <c r="U367" i="2"/>
  <c r="U369" i="2" s="1"/>
  <c r="AC367" i="2"/>
  <c r="AC369" i="2" s="1"/>
  <c r="AF428" i="2"/>
  <c r="AF430" i="2" s="1"/>
  <c r="AD367" i="2"/>
  <c r="AD369" i="2" s="1"/>
  <c r="M428" i="2"/>
  <c r="M430" i="2" s="1"/>
  <c r="L367" i="2"/>
  <c r="L369" i="2" s="1"/>
  <c r="AB367" i="2"/>
  <c r="AB369" i="2" s="1"/>
  <c r="G367" i="2"/>
  <c r="G369" i="2" s="1"/>
  <c r="Z428" i="2"/>
  <c r="Z430" i="2" s="1"/>
  <c r="I428" i="2"/>
  <c r="I430" i="2" s="1"/>
  <c r="V367" i="2"/>
  <c r="V369" i="2" s="1"/>
  <c r="AP428" i="2"/>
  <c r="AP430" i="2" s="1"/>
  <c r="X367" i="2"/>
  <c r="X369" i="2" s="1"/>
  <c r="I306" i="2"/>
  <c r="H306" i="2"/>
  <c r="AQ428" i="2"/>
  <c r="AQ430" i="2" s="1"/>
  <c r="AF367" i="2"/>
  <c r="AF369" i="2" s="1"/>
  <c r="P367" i="2"/>
  <c r="P369" i="2" s="1"/>
  <c r="M367" i="2"/>
  <c r="M369" i="2" s="1"/>
  <c r="Y428" i="2"/>
  <c r="Y430" i="2" s="1"/>
  <c r="AH428" i="2"/>
  <c r="AH430" i="2" s="1"/>
  <c r="K428" i="2"/>
  <c r="K430" i="2" s="1"/>
  <c r="Q306" i="2"/>
  <c r="Q308" i="2" s="1"/>
  <c r="V306" i="2"/>
  <c r="V308" i="2" s="1"/>
  <c r="H367" i="2"/>
  <c r="H369" i="2" s="1"/>
  <c r="AA306" i="2"/>
  <c r="AA308" i="2" s="1"/>
  <c r="AQ306" i="2"/>
  <c r="AP306" i="2"/>
  <c r="AP308" i="2" s="1"/>
  <c r="P428" i="2"/>
  <c r="P430" i="2" s="1"/>
  <c r="I367" i="2"/>
  <c r="I369" i="2" s="1"/>
  <c r="N428" i="2"/>
  <c r="N430" i="2" s="1"/>
  <c r="Z367" i="2"/>
  <c r="Z369" i="2" s="1"/>
  <c r="L306" i="2"/>
  <c r="L308" i="2" s="1"/>
  <c r="K367" i="2"/>
  <c r="K369" i="2" s="1"/>
  <c r="E367" i="2"/>
  <c r="E369" i="2" s="1"/>
  <c r="O306" i="2"/>
  <c r="F306" i="2"/>
  <c r="F308" i="2" s="1"/>
  <c r="AE367" i="2"/>
  <c r="AE369" i="2" s="1"/>
  <c r="T306" i="2"/>
  <c r="T308" i="2" s="1"/>
  <c r="J428" i="2"/>
  <c r="J430" i="2" s="1"/>
  <c r="AA428" i="2"/>
  <c r="AA430" i="2" s="1"/>
  <c r="Q367" i="2"/>
  <c r="Q369" i="2" s="1"/>
  <c r="L60" i="1"/>
  <c r="M60" i="1" s="1"/>
  <c r="F60" i="17" s="1"/>
  <c r="FB25" i="44"/>
  <c r="FB27" i="44" s="1"/>
  <c r="AD47" i="51"/>
  <c r="AD6" i="51" s="1"/>
  <c r="KJ17" i="44"/>
  <c r="KL16" i="44"/>
  <c r="U70" i="2"/>
  <c r="EZ25" i="44"/>
  <c r="EZ27" i="44" s="1"/>
  <c r="EH16" i="44"/>
  <c r="EF17" i="44"/>
  <c r="LV18" i="44"/>
  <c r="LT22" i="44"/>
  <c r="U60" i="17"/>
  <c r="W60" i="17" s="1"/>
  <c r="C60" i="17"/>
  <c r="CF17" i="45"/>
  <c r="DN18" i="44"/>
  <c r="DL19" i="44"/>
  <c r="DL22" i="44" s="1"/>
  <c r="T13" i="52"/>
  <c r="PH18" i="44"/>
  <c r="AA62" i="2"/>
  <c r="E245" i="2"/>
  <c r="BC306" i="2"/>
  <c r="L245" i="2"/>
  <c r="L247" i="2" s="1"/>
  <c r="W62" i="2"/>
  <c r="W64" i="2" s="1"/>
  <c r="V245" i="2"/>
  <c r="V247" i="2" s="1"/>
  <c r="Y245" i="2"/>
  <c r="Y247" i="2" s="1"/>
  <c r="Y62" i="2"/>
  <c r="Y64" i="2" s="1"/>
  <c r="BC428" i="2"/>
  <c r="BB367" i="2"/>
  <c r="N245" i="2"/>
  <c r="N247" i="2" s="1"/>
  <c r="AC184" i="2"/>
  <c r="AC186" i="2" s="1"/>
  <c r="U123" i="2"/>
  <c r="U125" i="2" s="1"/>
  <c r="AQ245" i="2"/>
  <c r="M245" i="2"/>
  <c r="M247" i="2" s="1"/>
  <c r="H245" i="2"/>
  <c r="W184" i="2"/>
  <c r="W186" i="2" s="1"/>
  <c r="AF245" i="2"/>
  <c r="AF247" i="2" s="1"/>
  <c r="R245" i="2"/>
  <c r="R247" i="2" s="1"/>
  <c r="BC184" i="2"/>
  <c r="AK245" i="2"/>
  <c r="AK247" i="2" s="1"/>
  <c r="R123" i="2"/>
  <c r="R125" i="2" s="1"/>
  <c r="AQ123" i="2"/>
  <c r="Y184" i="2"/>
  <c r="Y186" i="2" s="1"/>
  <c r="X245" i="2"/>
  <c r="X247" i="2" s="1"/>
  <c r="T62" i="2"/>
  <c r="BC245" i="2"/>
  <c r="N62" i="2"/>
  <c r="Z184" i="2"/>
  <c r="Z186" i="2" s="1"/>
  <c r="S184" i="2"/>
  <c r="S186" i="2" s="1"/>
  <c r="AR184" i="2"/>
  <c r="AS184" i="2" s="1"/>
  <c r="AS186" i="2" s="1"/>
  <c r="Z245" i="2"/>
  <c r="E62" i="2"/>
  <c r="E123" i="2"/>
  <c r="AD184" i="2"/>
  <c r="AD186" i="2" s="1"/>
  <c r="G184" i="2"/>
  <c r="G186" i="2" s="1"/>
  <c r="K245" i="2"/>
  <c r="K247" i="2" s="1"/>
  <c r="AE123" i="2"/>
  <c r="Z62" i="2"/>
  <c r="Z64" i="2" s="1"/>
  <c r="X123" i="2"/>
  <c r="X125" i="2" s="1"/>
  <c r="L62" i="2"/>
  <c r="L64" i="2" s="1"/>
  <c r="BB184" i="2"/>
  <c r="J123" i="2"/>
  <c r="J125" i="2" s="1"/>
  <c r="L184" i="2"/>
  <c r="L186" i="2" s="1"/>
  <c r="D184" i="2"/>
  <c r="X184" i="2"/>
  <c r="X186" i="2" s="1"/>
  <c r="O245" i="2"/>
  <c r="AQ62" i="2"/>
  <c r="P184" i="2"/>
  <c r="P186" i="2" s="1"/>
  <c r="R62" i="2"/>
  <c r="R64" i="2" s="1"/>
  <c r="H123" i="2"/>
  <c r="S62" i="2"/>
  <c r="S64" i="2" s="1"/>
  <c r="K62" i="2"/>
  <c r="K64" i="2" s="1"/>
  <c r="M184" i="2"/>
  <c r="M186" i="2" s="1"/>
  <c r="N184" i="2"/>
  <c r="N186" i="2" s="1"/>
  <c r="S123" i="2"/>
  <c r="S125" i="2" s="1"/>
  <c r="BB245" i="2"/>
  <c r="F123" i="2"/>
  <c r="F125" i="2" s="1"/>
  <c r="AR245" i="2"/>
  <c r="Z123" i="2"/>
  <c r="Z125" i="2" s="1"/>
  <c r="D62" i="2"/>
  <c r="I62" i="2"/>
  <c r="AB245" i="2"/>
  <c r="AB247" i="2" s="1"/>
  <c r="AC245" i="2"/>
  <c r="AC247" i="2" s="1"/>
  <c r="AF123" i="2"/>
  <c r="AF125" i="2" s="1"/>
  <c r="AP62" i="2"/>
  <c r="AI62" i="2"/>
  <c r="AI64" i="2" s="1"/>
  <c r="L123" i="2"/>
  <c r="L125" i="2" s="1"/>
  <c r="U245" i="2"/>
  <c r="U247" i="2" s="1"/>
  <c r="BB306" i="2"/>
  <c r="H184" i="2"/>
  <c r="M62" i="2"/>
  <c r="U62" i="2"/>
  <c r="U64" i="2" s="1"/>
  <c r="D367" i="2"/>
  <c r="D369" i="2" s="1"/>
  <c r="AR62" i="2"/>
  <c r="P123" i="2"/>
  <c r="P125" i="2" s="1"/>
  <c r="AK123" i="2"/>
  <c r="AK125" i="2" s="1"/>
  <c r="AP245" i="2"/>
  <c r="AP247" i="2" s="1"/>
  <c r="Q62" i="2"/>
  <c r="Q64" i="2" s="1"/>
  <c r="AA184" i="2"/>
  <c r="AA186" i="2" s="1"/>
  <c r="N123" i="2"/>
  <c r="N125" i="2" s="1"/>
  <c r="M123" i="2"/>
  <c r="AG123" i="2"/>
  <c r="AL245" i="2"/>
  <c r="I184" i="2"/>
  <c r="AP184" i="2"/>
  <c r="AP186" i="2" s="1"/>
  <c r="J184" i="2"/>
  <c r="J186" i="2" s="1"/>
  <c r="V184" i="2"/>
  <c r="V186" i="2" s="1"/>
  <c r="I123" i="2"/>
  <c r="AD62" i="2"/>
  <c r="AD64" i="2" s="1"/>
  <c r="F62" i="2"/>
  <c r="AK62" i="2"/>
  <c r="O123" i="2"/>
  <c r="F245" i="2"/>
  <c r="F247" i="2" s="1"/>
  <c r="AA245" i="2"/>
  <c r="AA247" i="2" s="1"/>
  <c r="Y123" i="2"/>
  <c r="Y125" i="2" s="1"/>
  <c r="BC62" i="2"/>
  <c r="AB123" i="2"/>
  <c r="T184" i="2"/>
  <c r="T186" i="2" s="1"/>
  <c r="BB428" i="2"/>
  <c r="BB123" i="2"/>
  <c r="O62" i="2"/>
  <c r="AB62" i="2"/>
  <c r="P62" i="2"/>
  <c r="D123" i="2"/>
  <c r="G123" i="2"/>
  <c r="S245" i="2"/>
  <c r="S247" i="2" s="1"/>
  <c r="D306" i="2"/>
  <c r="AC123" i="2"/>
  <c r="AC125" i="2" s="1"/>
  <c r="J62" i="2"/>
  <c r="J64" i="2" s="1"/>
  <c r="V123" i="2"/>
  <c r="V125" i="2" s="1"/>
  <c r="D245" i="2"/>
  <c r="V62" i="2"/>
  <c r="AE245" i="2"/>
  <c r="AA123" i="2"/>
  <c r="BC367" i="2"/>
  <c r="Q245" i="2"/>
  <c r="Q247" i="2" s="1"/>
  <c r="AB184" i="2"/>
  <c r="AB186" i="2" s="1"/>
  <c r="BC123" i="2"/>
  <c r="T123" i="2"/>
  <c r="T125" i="2" s="1"/>
  <c r="R184" i="2"/>
  <c r="R186" i="2" s="1"/>
  <c r="G245" i="2"/>
  <c r="G247" i="2" s="1"/>
  <c r="O184" i="2"/>
  <c r="BB62" i="2"/>
  <c r="T245" i="2"/>
  <c r="T247" i="2" s="1"/>
  <c r="AE184" i="2"/>
  <c r="E184" i="2"/>
  <c r="AR123" i="2"/>
  <c r="AS123" i="2" s="1"/>
  <c r="AS125" i="2" s="1"/>
  <c r="I245" i="2"/>
  <c r="AP123" i="2"/>
  <c r="AF184" i="2"/>
  <c r="AF186" i="2" s="1"/>
  <c r="AD245" i="2"/>
  <c r="AD247" i="2" s="1"/>
  <c r="AQ184" i="2"/>
  <c r="P245" i="2"/>
  <c r="P247" i="2" s="1"/>
  <c r="K123" i="2"/>
  <c r="K125" i="2" s="1"/>
  <c r="D428" i="2"/>
  <c r="U184" i="2"/>
  <c r="U186" i="2" s="1"/>
  <c r="AD123" i="2"/>
  <c r="AD125" i="2" s="1"/>
  <c r="AC62" i="2"/>
  <c r="AC64" i="2" s="1"/>
  <c r="Q123" i="2"/>
  <c r="Q125" i="2" s="1"/>
  <c r="W245" i="2"/>
  <c r="W247" i="2" s="1"/>
  <c r="K184" i="2"/>
  <c r="K186" i="2" s="1"/>
  <c r="F184" i="2"/>
  <c r="F186" i="2" s="1"/>
  <c r="W123" i="2"/>
  <c r="W125" i="2" s="1"/>
  <c r="J245" i="2"/>
  <c r="J247" i="2" s="1"/>
  <c r="X62" i="2"/>
  <c r="Q184" i="2"/>
  <c r="Q186" i="2" s="1"/>
  <c r="AD171" i="2"/>
  <c r="O47" i="51"/>
  <c r="O6" i="51" s="1"/>
  <c r="P33" i="51"/>
  <c r="M1" i="51"/>
  <c r="M2" i="51"/>
  <c r="AB17" i="44"/>
  <c r="Z68" i="44"/>
  <c r="Z33" i="44"/>
  <c r="Z37" i="44"/>
  <c r="AD293" i="2"/>
  <c r="QU18" i="44"/>
  <c r="QS19" i="44"/>
  <c r="HR16" i="44"/>
  <c r="HP18" i="44"/>
  <c r="AB2" i="51"/>
  <c r="AB1" i="51"/>
  <c r="FP20" i="44"/>
  <c r="KH19" i="44"/>
  <c r="KH20" i="44" s="1"/>
  <c r="E369" i="58" l="1"/>
  <c r="BC348" i="58"/>
  <c r="BB350" i="58"/>
  <c r="BB352" i="58" s="1"/>
  <c r="E430" i="58"/>
  <c r="BB411" i="58"/>
  <c r="BB413" i="58" s="1"/>
  <c r="AR64" i="2"/>
  <c r="AS62" i="2"/>
  <c r="AS64" i="2" s="1"/>
  <c r="AR247" i="2"/>
  <c r="AS245" i="2"/>
  <c r="AS247" i="2" s="1"/>
  <c r="V51" i="52"/>
  <c r="V6" i="52" s="1"/>
  <c r="CZ4" i="44"/>
  <c r="J9" i="2"/>
  <c r="H12" i="3" s="1"/>
  <c r="L5" i="51"/>
  <c r="L4" i="51" s="1"/>
  <c r="BB80" i="2"/>
  <c r="E81" i="2"/>
  <c r="C62" i="14" s="1"/>
  <c r="C66" i="14" s="1"/>
  <c r="B14" i="3"/>
  <c r="C13" i="3"/>
  <c r="SY3" i="44"/>
  <c r="WL3" i="44"/>
  <c r="QD3" i="44"/>
  <c r="TR3" i="44"/>
  <c r="JX3" i="44"/>
  <c r="AF3" i="45"/>
  <c r="OT3" i="44"/>
  <c r="SG3" i="44"/>
  <c r="RO3" i="44"/>
  <c r="OB3" i="44"/>
  <c r="UK3" i="44"/>
  <c r="LH3" i="44"/>
  <c r="HD3" i="44"/>
  <c r="AF3" i="44"/>
  <c r="HV3" i="44"/>
  <c r="FB3" i="44"/>
  <c r="BP3" i="44"/>
  <c r="N3" i="44"/>
  <c r="VD3" i="44"/>
  <c r="PL3" i="44"/>
  <c r="AX3" i="45"/>
  <c r="CH3" i="45"/>
  <c r="CZ3" i="44"/>
  <c r="KP3" i="44"/>
  <c r="H3" i="45"/>
  <c r="AX3" i="44"/>
  <c r="IN3" i="44"/>
  <c r="QW3" i="44"/>
  <c r="GL3" i="44"/>
  <c r="MR3" i="44"/>
  <c r="EJ3" i="44"/>
  <c r="DR3" i="44"/>
  <c r="BP3" i="45"/>
  <c r="N3" i="45"/>
  <c r="JF3" i="44"/>
  <c r="LZ3" i="44"/>
  <c r="NJ3" i="44"/>
  <c r="CH3" i="44"/>
  <c r="FT3" i="44"/>
  <c r="CW3" i="45"/>
  <c r="FN23" i="44"/>
  <c r="FL23" i="44"/>
  <c r="E109" i="55"/>
  <c r="F109" i="55" s="1"/>
  <c r="F114" i="55" s="1"/>
  <c r="M50" i="48"/>
  <c r="F82" i="55"/>
  <c r="C71" i="14"/>
  <c r="C14" i="56"/>
  <c r="G14" i="56" s="1"/>
  <c r="N469" i="2"/>
  <c r="N491" i="2" s="1"/>
  <c r="N70" i="2"/>
  <c r="N64" i="2"/>
  <c r="NJ18" i="44"/>
  <c r="N45" i="1"/>
  <c r="N47" i="1" s="1"/>
  <c r="N62" i="1" s="1"/>
  <c r="V2" i="52"/>
  <c r="V1" i="52"/>
  <c r="V4" i="52"/>
  <c r="AD12" i="52"/>
  <c r="AE12" i="52" s="1"/>
  <c r="AB51" i="52"/>
  <c r="AB6" i="52" s="1"/>
  <c r="AD11" i="52"/>
  <c r="AE11" i="52" s="1"/>
  <c r="AL469" i="2"/>
  <c r="AL491" i="2" s="1"/>
  <c r="C38" i="56"/>
  <c r="AL70" i="2"/>
  <c r="C43" i="56"/>
  <c r="AD482" i="2"/>
  <c r="AD504" i="2" s="1"/>
  <c r="N30" i="56"/>
  <c r="AD476" i="2"/>
  <c r="AD498" i="2" s="1"/>
  <c r="K30" i="56"/>
  <c r="M30" i="56" s="1"/>
  <c r="G18" i="56"/>
  <c r="U55" i="44"/>
  <c r="V69" i="44"/>
  <c r="W70" i="44"/>
  <c r="V33" i="44"/>
  <c r="AQ469" i="2"/>
  <c r="AQ491" i="2" s="1"/>
  <c r="M43" i="2"/>
  <c r="M45" i="2" s="1"/>
  <c r="M47" i="2" s="1"/>
  <c r="J94" i="54"/>
  <c r="L94" i="54" s="1"/>
  <c r="F19" i="2"/>
  <c r="M88" i="54"/>
  <c r="E81" i="55"/>
  <c r="F81" i="55" s="1"/>
  <c r="E69" i="55"/>
  <c r="F69" i="55" s="1"/>
  <c r="M52" i="48"/>
  <c r="E68" i="55"/>
  <c r="F68" i="55" s="1"/>
  <c r="B79" i="14"/>
  <c r="B48" i="14"/>
  <c r="BB352" i="2"/>
  <c r="BB484" i="2" s="1"/>
  <c r="BB506" i="2" s="1"/>
  <c r="I1" i="52"/>
  <c r="I2" i="52"/>
  <c r="O28" i="52"/>
  <c r="J51" i="52"/>
  <c r="J6" i="52" s="1"/>
  <c r="BC352" i="2"/>
  <c r="BC484" i="2" s="1"/>
  <c r="BC506" i="2" s="1"/>
  <c r="T4" i="51"/>
  <c r="BC16" i="2"/>
  <c r="M65" i="44"/>
  <c r="BB260" i="2"/>
  <c r="E264" i="2"/>
  <c r="F62" i="14" s="1"/>
  <c r="F66" i="14" s="1"/>
  <c r="AD56" i="44"/>
  <c r="AD49" i="44"/>
  <c r="AD44" i="44"/>
  <c r="AD55" i="44"/>
  <c r="AD52" i="44"/>
  <c r="AD57" i="44"/>
  <c r="AD43" i="44"/>
  <c r="AD51" i="44"/>
  <c r="AD26" i="44"/>
  <c r="F37" i="2"/>
  <c r="AD24" i="44"/>
  <c r="AD18" i="44"/>
  <c r="AF20" i="44"/>
  <c r="AD29" i="44"/>
  <c r="AD21" i="44"/>
  <c r="AD23" i="44"/>
  <c r="AB69" i="44"/>
  <c r="AD19" i="44"/>
  <c r="AD22" i="44"/>
  <c r="AD32" i="44"/>
  <c r="AD28" i="44"/>
  <c r="AD25" i="44"/>
  <c r="AD27" i="44"/>
  <c r="E2" i="51"/>
  <c r="E1" i="51"/>
  <c r="E4" i="51"/>
  <c r="J47" i="51"/>
  <c r="J6" i="51" s="1"/>
  <c r="K11" i="51"/>
  <c r="D430" i="2"/>
  <c r="BB386" i="2"/>
  <c r="P15" i="1"/>
  <c r="E411" i="2"/>
  <c r="E413" i="2" s="1"/>
  <c r="BB409" i="2"/>
  <c r="BB411" i="2" s="1"/>
  <c r="NW31" i="44"/>
  <c r="BC438" i="2"/>
  <c r="BC415" i="2"/>
  <c r="BC488" i="2" s="1"/>
  <c r="BC510" i="2" s="1"/>
  <c r="Q85" i="1"/>
  <c r="D438" i="2"/>
  <c r="D415" i="2"/>
  <c r="D488" i="2" s="1"/>
  <c r="D510" i="2" s="1"/>
  <c r="JD21" i="44"/>
  <c r="JD22" i="44" s="1"/>
  <c r="JF21" i="44"/>
  <c r="JF22" i="44" s="1"/>
  <c r="D487" i="2"/>
  <c r="D509" i="2" s="1"/>
  <c r="GU28" i="44"/>
  <c r="GU30" i="44" s="1"/>
  <c r="GU32" i="44" s="1"/>
  <c r="GW28" i="44"/>
  <c r="GW30" i="44" s="1"/>
  <c r="GY30" i="44" s="1"/>
  <c r="GY32" i="44" s="1"/>
  <c r="GY34" i="44" s="1"/>
  <c r="GY36" i="44" s="1"/>
  <c r="GV32" i="44"/>
  <c r="GV34" i="44" s="1"/>
  <c r="GV36" i="44" s="1"/>
  <c r="ES27" i="44"/>
  <c r="AQ64" i="2"/>
  <c r="T1" i="51"/>
  <c r="T2" i="51"/>
  <c r="E37" i="2"/>
  <c r="CV19" i="44"/>
  <c r="CT20" i="44"/>
  <c r="CF32" i="45"/>
  <c r="FT17" i="44"/>
  <c r="FT18" i="44" s="1"/>
  <c r="FR18" i="44"/>
  <c r="D15" i="1"/>
  <c r="EU27" i="44"/>
  <c r="AD42" i="44"/>
  <c r="EF20" i="44"/>
  <c r="ED21" i="44"/>
  <c r="AQ70" i="2"/>
  <c r="GZ30" i="44"/>
  <c r="GX32" i="44"/>
  <c r="GX34" i="44" s="1"/>
  <c r="GX36" i="44" s="1"/>
  <c r="M106" i="2"/>
  <c r="M108" i="2" s="1"/>
  <c r="Q27" i="1"/>
  <c r="O28" i="1"/>
  <c r="O45" i="1" s="1"/>
  <c r="O47" i="1" s="1"/>
  <c r="M24" i="1"/>
  <c r="C24" i="17"/>
  <c r="W24" i="17"/>
  <c r="QU19" i="44"/>
  <c r="QW18" i="44"/>
  <c r="QW19" i="44" s="1"/>
  <c r="AD192" i="2"/>
  <c r="M4" i="51"/>
  <c r="FP23" i="44"/>
  <c r="FR20" i="44"/>
  <c r="AD314" i="2"/>
  <c r="AB5" i="51"/>
  <c r="AB4" i="51" s="1"/>
  <c r="AD5" i="51"/>
  <c r="AD4" i="51" s="1"/>
  <c r="AB68" i="44"/>
  <c r="AD17" i="44"/>
  <c r="AB37" i="44"/>
  <c r="AB33" i="44"/>
  <c r="LX18" i="44"/>
  <c r="LV22" i="44"/>
  <c r="HT16" i="44"/>
  <c r="HR18" i="44"/>
  <c r="U33" i="51"/>
  <c r="E60" i="17"/>
  <c r="EJ16" i="44"/>
  <c r="EJ17" i="44" s="1"/>
  <c r="EH17" i="44"/>
  <c r="Z13" i="52"/>
  <c r="KL17" i="44"/>
  <c r="KN16" i="44"/>
  <c r="H60" i="17"/>
  <c r="BB369" i="2"/>
  <c r="O2" i="51"/>
  <c r="O1" i="51"/>
  <c r="DP18" i="44"/>
  <c r="DN19" i="44"/>
  <c r="DN22" i="44" s="1"/>
  <c r="CH17" i="45"/>
  <c r="KJ19" i="44"/>
  <c r="KJ20" i="44" s="1"/>
  <c r="AD2" i="51"/>
  <c r="AD1" i="51"/>
  <c r="D409" i="58" l="1"/>
  <c r="BC350" i="58"/>
  <c r="BC352" i="58" s="1"/>
  <c r="P192" i="2"/>
  <c r="P192" i="58"/>
  <c r="BB369" i="58"/>
  <c r="BB430" i="58"/>
  <c r="F18" i="1"/>
  <c r="BB81" i="2"/>
  <c r="DR4" i="44"/>
  <c r="K9" i="2"/>
  <c r="H13" i="3" s="1"/>
  <c r="B15" i="3"/>
  <c r="C14" i="3"/>
  <c r="E114" i="55"/>
  <c r="M96" i="48"/>
  <c r="F86" i="55"/>
  <c r="AB2" i="52"/>
  <c r="AB1" i="52"/>
  <c r="AB4" i="52"/>
  <c r="D13" i="56"/>
  <c r="C13" i="56"/>
  <c r="V70" i="44"/>
  <c r="W71" i="44"/>
  <c r="GU34" i="44"/>
  <c r="P43" i="58" s="1"/>
  <c r="P45" i="58" s="1"/>
  <c r="P47" i="58" s="1"/>
  <c r="B71" i="14"/>
  <c r="F5" i="51"/>
  <c r="F4" i="51" s="1"/>
  <c r="F20" i="2"/>
  <c r="BB19" i="2"/>
  <c r="E86" i="55"/>
  <c r="D69" i="14"/>
  <c r="D73" i="14" s="1"/>
  <c r="C69" i="14"/>
  <c r="E67" i="55"/>
  <c r="B69" i="14" s="1"/>
  <c r="B70" i="14"/>
  <c r="B50" i="14"/>
  <c r="B54" i="14" s="1"/>
  <c r="C48" i="14"/>
  <c r="C79" i="14"/>
  <c r="B81" i="14"/>
  <c r="L54" i="48"/>
  <c r="L58" i="48"/>
  <c r="L56" i="48"/>
  <c r="L60" i="48"/>
  <c r="BC369" i="2"/>
  <c r="J1" i="52"/>
  <c r="J2" i="52"/>
  <c r="T28" i="52"/>
  <c r="E281" i="2"/>
  <c r="D77" i="2"/>
  <c r="BC77" i="2"/>
  <c r="D138" i="2" s="1"/>
  <c r="D417" i="2"/>
  <c r="BC409" i="2"/>
  <c r="BC411" i="2" s="1"/>
  <c r="BC413" i="2" s="1"/>
  <c r="BC487" i="2" s="1"/>
  <c r="BC509" i="2" s="1"/>
  <c r="L15" i="1"/>
  <c r="L19" i="1" s="1"/>
  <c r="BB264" i="2"/>
  <c r="Y1" i="44"/>
  <c r="AF43" i="44"/>
  <c r="AF44" i="44"/>
  <c r="AF57" i="44"/>
  <c r="AF49" i="44"/>
  <c r="AF52" i="44"/>
  <c r="AF56" i="44"/>
  <c r="AF51" i="44"/>
  <c r="AF55" i="44"/>
  <c r="AF28" i="44"/>
  <c r="AF19" i="44"/>
  <c r="AF32" i="44"/>
  <c r="AF23" i="44"/>
  <c r="AD69" i="44"/>
  <c r="AF24" i="44"/>
  <c r="AF27" i="44"/>
  <c r="AF21" i="44"/>
  <c r="AF18" i="44"/>
  <c r="AF25" i="44"/>
  <c r="AF22" i="44"/>
  <c r="AF29" i="44"/>
  <c r="AF26" i="44"/>
  <c r="K47" i="51"/>
  <c r="K6" i="51" s="1"/>
  <c r="P11" i="51"/>
  <c r="J1" i="51"/>
  <c r="J2" i="51"/>
  <c r="BB413" i="2"/>
  <c r="BB487" i="2" s="1"/>
  <c r="BB509" i="2" s="1"/>
  <c r="E436" i="2"/>
  <c r="E487" i="2"/>
  <c r="E509" i="2" s="1"/>
  <c r="P19" i="1"/>
  <c r="P47" i="1" s="1"/>
  <c r="P62" i="1" s="1"/>
  <c r="Q15" i="1"/>
  <c r="E430" i="2"/>
  <c r="Z192" i="2"/>
  <c r="M125" i="2"/>
  <c r="M472" i="2"/>
  <c r="M494" i="2" s="1"/>
  <c r="M469" i="2"/>
  <c r="M491" i="2" s="1"/>
  <c r="P37" i="2"/>
  <c r="GW32" i="44"/>
  <c r="GW34" i="44" s="1"/>
  <c r="GW36" i="44" s="1"/>
  <c r="HA30" i="44"/>
  <c r="HC30" i="44" s="1"/>
  <c r="HC32" i="44" s="1"/>
  <c r="E15" i="1"/>
  <c r="G15" i="1" s="1"/>
  <c r="M70" i="2"/>
  <c r="M64" i="2"/>
  <c r="CX19" i="44"/>
  <c r="CV20" i="44"/>
  <c r="EH20" i="44"/>
  <c r="EF21" i="44"/>
  <c r="CH32" i="45"/>
  <c r="AF42" i="44"/>
  <c r="M131" i="2"/>
  <c r="GZ32" i="44"/>
  <c r="HB30" i="44"/>
  <c r="E24" i="17"/>
  <c r="F24" i="17"/>
  <c r="O62" i="1"/>
  <c r="O84" i="1"/>
  <c r="D437" i="2"/>
  <c r="BC376" i="2"/>
  <c r="I27" i="17"/>
  <c r="Q28" i="1"/>
  <c r="Q45" i="1" s="1"/>
  <c r="KN17" i="44"/>
  <c r="KP16" i="44"/>
  <c r="KL19" i="44"/>
  <c r="KL20" i="44" s="1"/>
  <c r="AE13" i="52"/>
  <c r="AF17" i="44"/>
  <c r="AD33" i="44"/>
  <c r="AD68" i="44"/>
  <c r="AD37" i="44"/>
  <c r="LZ18" i="44"/>
  <c r="LZ22" i="44" s="1"/>
  <c r="LX22" i="44"/>
  <c r="DR18" i="44"/>
  <c r="DP19" i="44"/>
  <c r="DP22" i="44" s="1"/>
  <c r="Z33" i="51"/>
  <c r="HV16" i="44"/>
  <c r="HT18" i="44"/>
  <c r="FR23" i="44"/>
  <c r="FT20" i="44"/>
  <c r="P131" i="2" l="1"/>
  <c r="P131" i="58"/>
  <c r="BC376" i="58"/>
  <c r="BC369" i="58"/>
  <c r="P64" i="58"/>
  <c r="D411" i="58"/>
  <c r="D413" i="58" s="1"/>
  <c r="BC409" i="58"/>
  <c r="BC411" i="58" s="1"/>
  <c r="BC413" i="58" s="1"/>
  <c r="EJ4" i="44"/>
  <c r="L9" i="2"/>
  <c r="H14" i="3" s="1"/>
  <c r="B16" i="3"/>
  <c r="C15" i="3"/>
  <c r="F19" i="1"/>
  <c r="O5" i="51"/>
  <c r="O4" i="51" s="1"/>
  <c r="L96" i="48"/>
  <c r="M92" i="48"/>
  <c r="G13" i="56"/>
  <c r="GU36" i="44"/>
  <c r="P70" i="58" s="1"/>
  <c r="V71" i="44"/>
  <c r="L92" i="48"/>
  <c r="P43" i="2"/>
  <c r="P45" i="2" s="1"/>
  <c r="P47" i="2" s="1"/>
  <c r="BC19" i="2"/>
  <c r="D18" i="1"/>
  <c r="BB20" i="2"/>
  <c r="F67" i="55"/>
  <c r="E79" i="55"/>
  <c r="F71" i="55"/>
  <c r="F69" i="14" s="1"/>
  <c r="F73" i="14" s="1"/>
  <c r="F74" i="55"/>
  <c r="F79" i="55" s="1"/>
  <c r="D79" i="14"/>
  <c r="C81" i="14"/>
  <c r="C50" i="14"/>
  <c r="C54" i="14" s="1"/>
  <c r="D48" i="14"/>
  <c r="D50" i="14" s="1"/>
  <c r="D54" i="14" s="1"/>
  <c r="M60" i="48"/>
  <c r="M58" i="48"/>
  <c r="M54" i="48"/>
  <c r="M56" i="48"/>
  <c r="BC138" i="2"/>
  <c r="D199" i="2" s="1"/>
  <c r="BC430" i="2"/>
  <c r="AF69" i="44"/>
  <c r="U11" i="51"/>
  <c r="P47" i="51"/>
  <c r="P6" i="51" s="1"/>
  <c r="K1" i="51"/>
  <c r="K2" i="51"/>
  <c r="BB430" i="2"/>
  <c r="Q19" i="1"/>
  <c r="Q47" i="1" s="1"/>
  <c r="I15" i="17"/>
  <c r="HA32" i="44"/>
  <c r="HA34" i="44" s="1"/>
  <c r="HA36" i="44" s="1"/>
  <c r="CZ19" i="44"/>
  <c r="CZ20" i="44" s="1"/>
  <c r="CX20" i="44"/>
  <c r="EJ20" i="44"/>
  <c r="EJ21" i="44" s="1"/>
  <c r="EH21" i="44"/>
  <c r="HB32" i="44"/>
  <c r="HB34" i="44" s="1"/>
  <c r="HB36" i="44" s="1"/>
  <c r="HD30" i="44"/>
  <c r="HD32" i="44" s="1"/>
  <c r="HD34" i="44" s="1"/>
  <c r="HD36" i="44" s="1"/>
  <c r="HC34" i="44"/>
  <c r="HC36" i="44" s="1"/>
  <c r="GZ34" i="44"/>
  <c r="GZ36" i="44" s="1"/>
  <c r="H24" i="17"/>
  <c r="I28" i="17"/>
  <c r="I45" i="17" s="1"/>
  <c r="K27" i="17"/>
  <c r="K28" i="17" s="1"/>
  <c r="AE33" i="51"/>
  <c r="C39" i="14"/>
  <c r="C40" i="14" s="1"/>
  <c r="I15" i="1"/>
  <c r="D39" i="14" s="1"/>
  <c r="D40" i="14" s="1"/>
  <c r="KP17" i="44"/>
  <c r="HV18" i="44"/>
  <c r="KN19" i="44"/>
  <c r="KN20" i="44" s="1"/>
  <c r="FT23" i="44"/>
  <c r="AF33" i="44"/>
  <c r="AF37" i="44"/>
  <c r="AF68" i="44"/>
  <c r="DR19" i="44"/>
  <c r="DR22" i="44" s="1"/>
  <c r="D437" i="58" l="1"/>
  <c r="D430" i="58"/>
  <c r="D417" i="58"/>
  <c r="P314" i="2"/>
  <c r="P314" i="58"/>
  <c r="BC437" i="58"/>
  <c r="BC430" i="58"/>
  <c r="P253" i="2"/>
  <c r="P253" i="58"/>
  <c r="M9" i="2"/>
  <c r="H15" i="3" s="1"/>
  <c r="FB4" i="44"/>
  <c r="B17" i="3"/>
  <c r="C16" i="3"/>
  <c r="C16" i="56"/>
  <c r="G16" i="56" s="1"/>
  <c r="M91" i="48"/>
  <c r="L91" i="48"/>
  <c r="P469" i="2"/>
  <c r="P491" i="2" s="1"/>
  <c r="P70" i="2"/>
  <c r="P64" i="2"/>
  <c r="E18" i="1"/>
  <c r="D19" i="1"/>
  <c r="J5" i="51"/>
  <c r="J4" i="51" s="1"/>
  <c r="D80" i="2"/>
  <c r="D81" i="2" s="1"/>
  <c r="BC80" i="2"/>
  <c r="BC20" i="2"/>
  <c r="D81" i="14"/>
  <c r="BC437" i="2"/>
  <c r="Q62" i="1"/>
  <c r="X1" i="44"/>
  <c r="P2" i="51"/>
  <c r="P1" i="51"/>
  <c r="Z11" i="51"/>
  <c r="U47" i="51"/>
  <c r="U6" i="51" s="1"/>
  <c r="I19" i="17"/>
  <c r="I47" i="17" s="1"/>
  <c r="I62" i="17" s="1"/>
  <c r="I65" i="17" s="1"/>
  <c r="I69" i="17" s="1"/>
  <c r="I72" i="17" s="1"/>
  <c r="K15" i="17"/>
  <c r="K19" i="17" s="1"/>
  <c r="U15" i="17"/>
  <c r="KP19" i="44"/>
  <c r="KP20" i="44" s="1"/>
  <c r="N9" i="2" l="1"/>
  <c r="H16" i="3" s="1"/>
  <c r="FT4" i="44"/>
  <c r="B18" i="3"/>
  <c r="C17" i="3"/>
  <c r="BC141" i="2"/>
  <c r="D141" i="2"/>
  <c r="D142" i="2" s="1"/>
  <c r="BC81" i="2"/>
  <c r="G18" i="1"/>
  <c r="K5" i="51"/>
  <c r="K4" i="51" s="1"/>
  <c r="E19" i="1"/>
  <c r="W1" i="44"/>
  <c r="U1" i="51"/>
  <c r="U2" i="51"/>
  <c r="AE11" i="51"/>
  <c r="AE47" i="51" s="1"/>
  <c r="AE6" i="51" s="1"/>
  <c r="Z47" i="51"/>
  <c r="Z6" i="51" s="1"/>
  <c r="J37" i="44"/>
  <c r="J56" i="44" s="1"/>
  <c r="GL4" i="44" l="1"/>
  <c r="O9" i="2"/>
  <c r="H17" i="3" s="1"/>
  <c r="C18" i="3"/>
  <c r="B19" i="3"/>
  <c r="I18" i="1"/>
  <c r="G19" i="1"/>
  <c r="P5" i="51"/>
  <c r="P4" i="51" s="1"/>
  <c r="D202" i="2"/>
  <c r="BC142" i="2"/>
  <c r="V1" i="44"/>
  <c r="J65" i="44"/>
  <c r="Z1" i="51"/>
  <c r="Z2" i="51"/>
  <c r="AE1" i="51"/>
  <c r="AE2" i="51"/>
  <c r="K37" i="44"/>
  <c r="B20" i="3" l="1"/>
  <c r="C19" i="3"/>
  <c r="P9" i="2"/>
  <c r="H18" i="3" s="1"/>
  <c r="HD4" i="44"/>
  <c r="BC202" i="2"/>
  <c r="D263" i="2" s="1"/>
  <c r="BC263" i="2" s="1"/>
  <c r="D203" i="2"/>
  <c r="K18" i="1"/>
  <c r="I19" i="1"/>
  <c r="U18" i="17"/>
  <c r="U5" i="51"/>
  <c r="U4" i="51" s="1"/>
  <c r="K56" i="44"/>
  <c r="E199" i="2"/>
  <c r="Q9" i="2" l="1"/>
  <c r="H19" i="3" s="1"/>
  <c r="HV4" i="44"/>
  <c r="B21" i="3"/>
  <c r="C20" i="3"/>
  <c r="W18" i="17"/>
  <c r="U19" i="17"/>
  <c r="Z5" i="51"/>
  <c r="Z4" i="51" s="1"/>
  <c r="M18" i="1"/>
  <c r="C18" i="17"/>
  <c r="E18" i="17" s="1"/>
  <c r="BB199" i="2"/>
  <c r="BC199" i="2" s="1"/>
  <c r="L83" i="54"/>
  <c r="K65" i="44"/>
  <c r="E203" i="2"/>
  <c r="E62" i="14" s="1"/>
  <c r="R9" i="2" l="1"/>
  <c r="H20" i="3" s="1"/>
  <c r="IN4" i="44"/>
  <c r="B22" i="3"/>
  <c r="C21" i="3"/>
  <c r="AE5" i="51"/>
  <c r="AE4" i="51" s="1"/>
  <c r="A4" i="51" s="1"/>
  <c r="F18" i="17"/>
  <c r="H18" i="17" s="1"/>
  <c r="E66" i="14"/>
  <c r="E48" i="14" s="1"/>
  <c r="E79" i="14"/>
  <c r="E220" i="2"/>
  <c r="J15" i="1"/>
  <c r="BB203" i="2"/>
  <c r="BC203" i="2"/>
  <c r="D260" i="2"/>
  <c r="S9" i="2" l="1"/>
  <c r="H21" i="3" s="1"/>
  <c r="JF4" i="44"/>
  <c r="B23" i="3"/>
  <c r="C22" i="3"/>
  <c r="J19" i="1"/>
  <c r="J44" i="1" s="1"/>
  <c r="R76" i="54"/>
  <c r="E70" i="55"/>
  <c r="F70" i="55" s="1"/>
  <c r="F72" i="55" s="1"/>
  <c r="F79" i="14"/>
  <c r="F81" i="14" s="1"/>
  <c r="E81" i="14"/>
  <c r="E50" i="14"/>
  <c r="E54" i="14" s="1"/>
  <c r="F48" i="14"/>
  <c r="F50" i="14" s="1"/>
  <c r="F54" i="14" s="1"/>
  <c r="K15" i="1"/>
  <c r="BC260" i="2"/>
  <c r="BC264" i="2" s="1"/>
  <c r="D264" i="2"/>
  <c r="JX4" i="44" l="1"/>
  <c r="T9" i="2"/>
  <c r="H22" i="3" s="1"/>
  <c r="B24" i="3"/>
  <c r="C23" i="3"/>
  <c r="M90" i="48"/>
  <c r="E72" i="55"/>
  <c r="E69" i="14"/>
  <c r="E73" i="14" s="1"/>
  <c r="E39" i="14"/>
  <c r="E40" i="14" s="1"/>
  <c r="C15" i="17"/>
  <c r="C19" i="17" s="1"/>
  <c r="M15" i="1"/>
  <c r="K19" i="1"/>
  <c r="KP4" i="44" l="1"/>
  <c r="U9" i="2"/>
  <c r="H23" i="3" s="1"/>
  <c r="B25" i="3"/>
  <c r="C24" i="3"/>
  <c r="L90" i="48"/>
  <c r="F39" i="14"/>
  <c r="F40" i="14" s="1"/>
  <c r="F15" i="17"/>
  <c r="F19" i="17" s="1"/>
  <c r="M19" i="1"/>
  <c r="V9" i="2" l="1"/>
  <c r="H24" i="3" s="1"/>
  <c r="LH4" i="44"/>
  <c r="C25" i="3"/>
  <c r="B26" i="3"/>
  <c r="G79" i="14"/>
  <c r="G48" i="14"/>
  <c r="B27" i="3" l="1"/>
  <c r="C26" i="3"/>
  <c r="W9" i="2"/>
  <c r="H25" i="3" s="1"/>
  <c r="LZ4" i="44"/>
  <c r="V34" i="2"/>
  <c r="MR4" i="44" l="1"/>
  <c r="X9" i="2"/>
  <c r="H26" i="3" s="1"/>
  <c r="C27" i="3"/>
  <c r="B28" i="3"/>
  <c r="KZ22" i="44"/>
  <c r="LB22" i="44" s="1"/>
  <c r="LD22" i="44" s="1"/>
  <c r="LF22" i="44" s="1"/>
  <c r="LH22" i="44" s="1"/>
  <c r="C28" i="3" l="1"/>
  <c r="B29" i="3"/>
  <c r="NJ4" i="44"/>
  <c r="Y9" i="2"/>
  <c r="H27" i="3" s="1"/>
  <c r="V35" i="2"/>
  <c r="KZ23" i="44"/>
  <c r="LB23" i="44" s="1"/>
  <c r="LD23" i="44" s="1"/>
  <c r="LF23" i="44" s="1"/>
  <c r="LH23" i="44" s="1"/>
  <c r="KX26" i="44"/>
  <c r="KX29" i="44" s="1"/>
  <c r="KX31" i="44" s="1"/>
  <c r="KX32" i="44" s="1"/>
  <c r="KX33" i="44" s="1"/>
  <c r="V37" i="2"/>
  <c r="KZ25" i="44"/>
  <c r="LB25" i="44" s="1"/>
  <c r="LD25" i="44" s="1"/>
  <c r="LF25" i="44" s="1"/>
  <c r="LH25" i="44" s="1"/>
  <c r="B30" i="3" l="1"/>
  <c r="C29" i="3"/>
  <c r="Z9" i="2"/>
  <c r="H28" i="3" s="1"/>
  <c r="OB4" i="44"/>
  <c r="V33" i="2"/>
  <c r="KZ21" i="44"/>
  <c r="LB21" i="44" s="1"/>
  <c r="LD21" i="44" s="1"/>
  <c r="LF21" i="44" s="1"/>
  <c r="LH21" i="44" s="1"/>
  <c r="V36" i="2"/>
  <c r="BB36" i="2" s="1"/>
  <c r="KZ24" i="44"/>
  <c r="LB24" i="44" s="1"/>
  <c r="LD24" i="44" s="1"/>
  <c r="LF24" i="44" s="1"/>
  <c r="LH24" i="44" s="1"/>
  <c r="KZ18" i="44"/>
  <c r="LB18" i="44" s="1"/>
  <c r="LD18" i="44" s="1"/>
  <c r="LF18" i="44" s="1"/>
  <c r="LH18" i="44" s="1"/>
  <c r="OT4" i="44" l="1"/>
  <c r="AA9" i="2"/>
  <c r="H29" i="3" s="1"/>
  <c r="C30" i="3"/>
  <c r="B31" i="3"/>
  <c r="D35" i="1"/>
  <c r="BC36" i="2"/>
  <c r="V32" i="2"/>
  <c r="BB32" i="2" s="1"/>
  <c r="KZ20" i="44"/>
  <c r="LB20" i="44" s="1"/>
  <c r="LD20" i="44" s="1"/>
  <c r="LF20" i="44" s="1"/>
  <c r="LH20" i="44" s="1"/>
  <c r="KZ17" i="44"/>
  <c r="KZ19" i="44"/>
  <c r="LB19" i="44" s="1"/>
  <c r="LD19" i="44" s="1"/>
  <c r="LF19" i="44" s="1"/>
  <c r="LH19" i="44" s="1"/>
  <c r="C31" i="3" l="1"/>
  <c r="B32" i="3"/>
  <c r="PL4" i="44"/>
  <c r="AB9" i="2"/>
  <c r="H30" i="3" s="1"/>
  <c r="E35" i="1"/>
  <c r="KY26" i="44"/>
  <c r="LB17" i="44"/>
  <c r="KZ26" i="44"/>
  <c r="BC32" i="2"/>
  <c r="D31" i="1"/>
  <c r="V31" i="2"/>
  <c r="BC97" i="2"/>
  <c r="D97" i="2"/>
  <c r="C32" i="3" l="1"/>
  <c r="B33" i="3"/>
  <c r="QD4" i="44"/>
  <c r="AC9" i="2"/>
  <c r="H31" i="3" s="1"/>
  <c r="E31" i="1"/>
  <c r="G35" i="1"/>
  <c r="D93" i="2"/>
  <c r="BC93" i="2"/>
  <c r="BE97" i="2"/>
  <c r="BC158" i="2"/>
  <c r="D219" i="2" s="1"/>
  <c r="D158" i="2"/>
  <c r="LD17" i="44"/>
  <c r="LB26" i="44"/>
  <c r="QW4" i="44" l="1"/>
  <c r="AD9" i="2"/>
  <c r="H32" i="3" s="1"/>
  <c r="C33" i="3"/>
  <c r="B34" i="3"/>
  <c r="L125" i="48"/>
  <c r="L159" i="48" s="1"/>
  <c r="NY21" i="44" s="1"/>
  <c r="I35" i="1"/>
  <c r="G31" i="1"/>
  <c r="V42" i="2"/>
  <c r="KZ28" i="44"/>
  <c r="KY29" i="44"/>
  <c r="KY31" i="44" s="1"/>
  <c r="LD26" i="44"/>
  <c r="LF17" i="44"/>
  <c r="D154" i="2"/>
  <c r="BE93" i="2"/>
  <c r="AE9" i="2" l="1"/>
  <c r="H33" i="3" s="1"/>
  <c r="RO4" i="44"/>
  <c r="B35" i="3"/>
  <c r="C34" i="3"/>
  <c r="U35" i="17"/>
  <c r="W35" i="17" s="1"/>
  <c r="NX21" i="44"/>
  <c r="N126" i="53"/>
  <c r="KY32" i="44"/>
  <c r="V43" i="58" s="1"/>
  <c r="V45" i="58" s="1"/>
  <c r="V47" i="58" s="1"/>
  <c r="LB28" i="44"/>
  <c r="KZ29" i="44"/>
  <c r="KZ31" i="44" s="1"/>
  <c r="KZ32" i="44" s="1"/>
  <c r="KZ33" i="44" s="1"/>
  <c r="LF26" i="44"/>
  <c r="LH17" i="44"/>
  <c r="LH26" i="44" s="1"/>
  <c r="V64" i="58" l="1"/>
  <c r="AF9" i="2"/>
  <c r="H34" i="3" s="1"/>
  <c r="SG4" i="44"/>
  <c r="C35" i="3"/>
  <c r="AG9" i="2" s="1"/>
  <c r="H35" i="3" s="1"/>
  <c r="B36" i="3"/>
  <c r="V43" i="2"/>
  <c r="V45" i="2" s="1"/>
  <c r="V47" i="2" s="1"/>
  <c r="NZ21" i="44"/>
  <c r="Z219" i="2"/>
  <c r="BB219" i="2" s="1"/>
  <c r="J35" i="1" s="1"/>
  <c r="KY33" i="44"/>
  <c r="V70" i="58" s="1"/>
  <c r="LD28" i="44"/>
  <c r="LB29" i="44"/>
  <c r="LB31" i="44" s="1"/>
  <c r="LB32" i="44" s="1"/>
  <c r="LB33" i="44" s="1"/>
  <c r="C36" i="3" l="1"/>
  <c r="AH9" i="2" s="1"/>
  <c r="H36" i="3" s="1"/>
  <c r="B37" i="3"/>
  <c r="C22" i="56"/>
  <c r="G22" i="56" s="1"/>
  <c r="V469" i="2"/>
  <c r="V491" i="2" s="1"/>
  <c r="K35" i="1"/>
  <c r="BC219" i="2"/>
  <c r="D280" i="2" s="1"/>
  <c r="V70" i="2"/>
  <c r="V64" i="2"/>
  <c r="LF28" i="44"/>
  <c r="LD29" i="44"/>
  <c r="LD31" i="44" s="1"/>
  <c r="LD32" i="44" s="1"/>
  <c r="LD33" i="44" s="1"/>
  <c r="C37" i="3" l="1"/>
  <c r="AI9" i="2" s="1"/>
  <c r="H37" i="3" s="1"/>
  <c r="B38" i="3"/>
  <c r="C35" i="17"/>
  <c r="E35" i="17" s="1"/>
  <c r="M125" i="48"/>
  <c r="M159" i="48" s="1"/>
  <c r="L142" i="48"/>
  <c r="LH28" i="44"/>
  <c r="LH29" i="44" s="1"/>
  <c r="LH31" i="44" s="1"/>
  <c r="LH32" i="44" s="1"/>
  <c r="LH33" i="44" s="1"/>
  <c r="LF29" i="44"/>
  <c r="LF31" i="44" s="1"/>
  <c r="LF32" i="44" s="1"/>
  <c r="LF33" i="44" s="1"/>
  <c r="C38" i="3" l="1"/>
  <c r="AJ9" i="2" s="1"/>
  <c r="H38" i="3" s="1"/>
  <c r="B39" i="3"/>
  <c r="OA21" i="44"/>
  <c r="C39" i="3" l="1"/>
  <c r="B40" i="3"/>
  <c r="OB21" i="44"/>
  <c r="Z280" i="2"/>
  <c r="BB280" i="2" s="1"/>
  <c r="BC280" i="2" s="1"/>
  <c r="C40" i="3" l="1"/>
  <c r="B41" i="3"/>
  <c r="AK9" i="2"/>
  <c r="H39" i="3" s="1"/>
  <c r="UK4" i="44"/>
  <c r="L35" i="1"/>
  <c r="B42" i="3" l="1"/>
  <c r="C41" i="3"/>
  <c r="AL9" i="2"/>
  <c r="H40" i="3" s="1"/>
  <c r="VD4" i="44"/>
  <c r="M35" i="1"/>
  <c r="TR4" i="44" l="1"/>
  <c r="AM9" i="2"/>
  <c r="H41" i="3" s="1"/>
  <c r="C42" i="3"/>
  <c r="B43" i="3"/>
  <c r="F35" i="17"/>
  <c r="H35" i="17" s="1"/>
  <c r="M142" i="48"/>
  <c r="C43" i="3" l="1"/>
  <c r="B58" i="3"/>
  <c r="B59" i="3" s="1"/>
  <c r="B60" i="3" s="1"/>
  <c r="B61" i="3" s="1"/>
  <c r="B62" i="3" s="1"/>
  <c r="B63" i="3" s="1"/>
  <c r="B64" i="3" s="1"/>
  <c r="B65" i="3" s="1"/>
  <c r="B66" i="3" s="1"/>
  <c r="B67" i="3" s="1"/>
  <c r="B68" i="3" s="1"/>
  <c r="B69" i="3" s="1"/>
  <c r="B70" i="3" s="1"/>
  <c r="B71" i="3" s="1"/>
  <c r="B72" i="3" s="1"/>
  <c r="B73" i="3" s="1"/>
  <c r="B74" i="3" s="1"/>
  <c r="B75" i="3" s="1"/>
  <c r="B44" i="3"/>
  <c r="VW4" i="44"/>
  <c r="AN9" i="2"/>
  <c r="JN18" i="44"/>
  <c r="JN20" i="44" s="1"/>
  <c r="C44" i="3" l="1"/>
  <c r="B45" i="3"/>
  <c r="C78" i="3"/>
  <c r="AO9" i="2"/>
  <c r="H43" i="3" s="1"/>
  <c r="WL4" i="44"/>
  <c r="JN22" i="44"/>
  <c r="JN23" i="44" s="1"/>
  <c r="C79" i="3" l="1"/>
  <c r="BP4" i="45"/>
  <c r="AP9" i="2"/>
  <c r="C45" i="3"/>
  <c r="B46" i="3"/>
  <c r="JO18" i="44"/>
  <c r="JO20" i="44" s="1"/>
  <c r="JP16" i="44"/>
  <c r="B47" i="3" l="1"/>
  <c r="C46" i="3"/>
  <c r="C80" i="3"/>
  <c r="AQ9" i="2"/>
  <c r="CH4" i="45"/>
  <c r="JP18" i="44"/>
  <c r="JP20" i="44" s="1"/>
  <c r="JR16" i="44"/>
  <c r="T37" i="2"/>
  <c r="C81" i="3" l="1"/>
  <c r="C82" i="3" s="1"/>
  <c r="C83" i="3" s="1"/>
  <c r="C84" i="3" s="1"/>
  <c r="C85" i="3" s="1"/>
  <c r="C86" i="3" s="1"/>
  <c r="C87" i="3" s="1"/>
  <c r="C88" i="3" s="1"/>
  <c r="C89" i="3" s="1"/>
  <c r="AR9" i="2"/>
  <c r="CW4" i="45"/>
  <c r="C47" i="3"/>
  <c r="B48" i="3"/>
  <c r="JT16" i="44"/>
  <c r="JR18" i="44"/>
  <c r="JR20" i="44" s="1"/>
  <c r="JR22" i="44" s="1"/>
  <c r="JR23" i="44" s="1"/>
  <c r="JP22" i="44"/>
  <c r="JO22" i="44" s="1"/>
  <c r="T43" i="58" s="1"/>
  <c r="T45" i="58" s="1"/>
  <c r="T47" i="58" s="1"/>
  <c r="T64" i="58" l="1"/>
  <c r="B49" i="3"/>
  <c r="C48" i="3"/>
  <c r="JP23" i="44"/>
  <c r="T43" i="2"/>
  <c r="JO23" i="44"/>
  <c r="T70" i="58" s="1"/>
  <c r="JV16" i="44"/>
  <c r="JT18" i="44"/>
  <c r="JT20" i="44" s="1"/>
  <c r="JT22" i="44" s="1"/>
  <c r="JT23" i="44" s="1"/>
  <c r="C49" i="3" l="1"/>
  <c r="B50" i="3"/>
  <c r="JX16" i="44"/>
  <c r="JX18" i="44" s="1"/>
  <c r="JX20" i="44" s="1"/>
  <c r="JX22" i="44" s="1"/>
  <c r="JX23" i="44" s="1"/>
  <c r="JV18" i="44"/>
  <c r="JV20" i="44" s="1"/>
  <c r="JV22" i="44" s="1"/>
  <c r="JV23" i="44" s="1"/>
  <c r="T45" i="2"/>
  <c r="T47" i="2" s="1"/>
  <c r="C20" i="56" s="1"/>
  <c r="G20" i="56" s="1"/>
  <c r="B51" i="3" l="1"/>
  <c r="C50" i="3"/>
  <c r="T469" i="2"/>
  <c r="T491" i="2" s="1"/>
  <c r="T64" i="2"/>
  <c r="T70" i="2"/>
  <c r="C51" i="3" l="1"/>
  <c r="B52" i="3"/>
  <c r="I168" i="53"/>
  <c r="C52" i="3" l="1"/>
  <c r="B53" i="3"/>
  <c r="K168" i="53"/>
  <c r="B54" i="3" l="1"/>
  <c r="C53" i="3"/>
  <c r="M168" i="53"/>
  <c r="B55" i="3" l="1"/>
  <c r="C55" i="3" s="1"/>
  <c r="C54" i="3"/>
  <c r="BJ30" i="45"/>
  <c r="BL30" i="45" s="1"/>
  <c r="BN30" i="45" s="1"/>
  <c r="BP30" i="45" s="1"/>
  <c r="BJ28" i="45"/>
  <c r="BL28" i="45" s="1"/>
  <c r="BN28" i="45" s="1"/>
  <c r="BP28" i="45" s="1"/>
  <c r="BJ27" i="45"/>
  <c r="BL27" i="45" s="1"/>
  <c r="BN27" i="45" s="1"/>
  <c r="BP27" i="45" s="1"/>
  <c r="BJ25" i="45"/>
  <c r="BL25" i="45" s="1"/>
  <c r="BN25" i="45" s="1"/>
  <c r="BP25" i="45" s="1"/>
  <c r="AP56" i="2" l="1"/>
  <c r="BJ26" i="45"/>
  <c r="BL26" i="45" s="1"/>
  <c r="BN26" i="45" s="1"/>
  <c r="BP26" i="45" s="1"/>
  <c r="AP57" i="2"/>
  <c r="BG31" i="45"/>
  <c r="BG33" i="45" s="1"/>
  <c r="BJ29" i="45" l="1"/>
  <c r="BH31" i="45"/>
  <c r="BH33" i="45" s="1"/>
  <c r="AP60" i="2"/>
  <c r="AP64" i="2" l="1"/>
  <c r="AP49" i="2"/>
  <c r="BL29" i="45"/>
  <c r="BJ31" i="45"/>
  <c r="BJ33" i="45" s="1"/>
  <c r="I42" i="56" l="1"/>
  <c r="M42" i="56" s="1"/>
  <c r="AP70" i="2"/>
  <c r="AP470" i="2"/>
  <c r="AP492" i="2" s="1"/>
  <c r="BN29" i="45"/>
  <c r="BL31" i="45"/>
  <c r="BL33" i="45" s="1"/>
  <c r="BP29" i="45" l="1"/>
  <c r="BP31" i="45" s="1"/>
  <c r="BP33" i="45" s="1"/>
  <c r="BN31" i="45"/>
  <c r="BN33" i="45" s="1"/>
  <c r="AL57" i="2" l="1"/>
  <c r="AL179" i="2"/>
  <c r="AL118" i="2"/>
  <c r="AL117" i="2"/>
  <c r="AL56" i="2"/>
  <c r="AL60" i="2" l="1"/>
  <c r="BB56" i="2"/>
  <c r="AL178" i="2"/>
  <c r="AL121" i="2"/>
  <c r="AL125" i="2" s="1"/>
  <c r="AL64" i="2" l="1"/>
  <c r="AL49" i="2"/>
  <c r="AL182" i="2"/>
  <c r="AL110" i="2"/>
  <c r="D53" i="1"/>
  <c r="J38" i="56" l="1"/>
  <c r="AL171" i="2"/>
  <c r="AL192" i="2" s="1"/>
  <c r="AL186" i="2"/>
  <c r="AL470" i="2"/>
  <c r="AL492" i="2" s="1"/>
  <c r="I38" i="56"/>
  <c r="AL473" i="2"/>
  <c r="AL495" i="2" s="1"/>
  <c r="AL131" i="2"/>
  <c r="AL476" i="2" l="1"/>
  <c r="AL498" i="2" s="1"/>
  <c r="K38" i="56"/>
  <c r="VB22" i="44" l="1"/>
  <c r="VA24" i="44"/>
  <c r="VA26" i="44" s="1"/>
  <c r="AL240" i="2" l="1"/>
  <c r="AL239" i="2"/>
  <c r="AL226" i="2"/>
  <c r="AL224" i="2"/>
  <c r="X51" i="52"/>
  <c r="X6" i="52" s="1"/>
  <c r="Y28" i="52"/>
  <c r="VB24" i="44"/>
  <c r="VB26" i="44" s="1"/>
  <c r="VA27" i="44" l="1"/>
  <c r="AL243" i="2"/>
  <c r="AL232" i="2" s="1"/>
  <c r="Z28" i="52"/>
  <c r="X1" i="52"/>
  <c r="X2" i="52"/>
  <c r="X5" i="52"/>
  <c r="X4" i="52" s="1"/>
  <c r="VB27" i="44"/>
  <c r="AL228" i="2"/>
  <c r="AL230" i="2" s="1"/>
  <c r="AL478" i="2" l="1"/>
  <c r="AL500" i="2" s="1"/>
  <c r="F38" i="56"/>
  <c r="G38" i="56" s="1"/>
  <c r="AL247" i="2"/>
  <c r="AL479" i="2"/>
  <c r="AL501" i="2" s="1"/>
  <c r="L38" i="56"/>
  <c r="M38" i="56" s="1"/>
  <c r="AL253" i="2"/>
  <c r="AC28" i="52" l="1"/>
  <c r="VC24" i="44"/>
  <c r="VC26" i="44" s="1"/>
  <c r="VD22" i="44"/>
  <c r="VD24" i="44" s="1"/>
  <c r="VD26" i="44" l="1"/>
  <c r="VD27" i="44" s="1"/>
  <c r="AL287" i="2"/>
  <c r="AL285" i="2"/>
  <c r="VC27" i="44"/>
  <c r="AL300" i="2"/>
  <c r="AL301" i="2"/>
  <c r="AD28" i="52"/>
  <c r="AC51" i="52"/>
  <c r="AC6" i="52" s="1"/>
  <c r="AL289" i="2" l="1"/>
  <c r="AL291" i="2" s="1"/>
  <c r="AL304" i="2"/>
  <c r="AL293" i="2" s="1"/>
  <c r="AC1" i="52"/>
  <c r="AC2" i="52"/>
  <c r="AC4" i="52"/>
  <c r="AE28" i="52"/>
  <c r="AL482" i="2" l="1"/>
  <c r="AL504" i="2" s="1"/>
  <c r="N38" i="56"/>
  <c r="AL481" i="2"/>
  <c r="AL503" i="2" s="1"/>
  <c r="AL308" i="2"/>
  <c r="H38" i="56"/>
  <c r="AL314" i="2"/>
  <c r="PB48" i="44" l="1"/>
  <c r="PC48" i="44"/>
  <c r="PD48" i="44" l="1"/>
  <c r="PD50" i="44" l="1"/>
  <c r="PD52" i="44" s="1"/>
  <c r="PD53" i="44" s="1"/>
  <c r="PF48" i="44"/>
  <c r="PF50" i="44" l="1"/>
  <c r="PF52" i="44" s="1"/>
  <c r="PF53" i="44" s="1"/>
  <c r="PH48" i="44"/>
  <c r="PH50" i="44" l="1"/>
  <c r="PH52" i="44" s="1"/>
  <c r="PH53" i="44" s="1"/>
  <c r="PL48" i="44"/>
  <c r="PJ48" i="44"/>
  <c r="PJ50" i="44" l="1"/>
  <c r="PJ52" i="44" s="1"/>
  <c r="PJ53" i="44" s="1"/>
  <c r="PL50" i="44"/>
  <c r="PL52" i="44" s="1"/>
  <c r="PL53" i="44" s="1"/>
  <c r="RL22" i="44" l="1"/>
  <c r="RJ22" i="44"/>
  <c r="RN22" i="44"/>
  <c r="C53" i="1" l="1"/>
  <c r="E53" i="1" s="1"/>
  <c r="BC56" i="2"/>
  <c r="BC59" i="2"/>
  <c r="C56" i="1"/>
  <c r="E56" i="1" s="1"/>
  <c r="G56" i="1" s="1"/>
  <c r="I56" i="1" s="1"/>
  <c r="C52" i="1" l="1"/>
  <c r="C54" i="1"/>
  <c r="K56" i="1"/>
  <c r="U56" i="17"/>
  <c r="W56" i="17" s="1"/>
  <c r="BC120" i="2"/>
  <c r="D120" i="2"/>
  <c r="D117" i="2"/>
  <c r="M56" i="1" l="1"/>
  <c r="F56" i="17" s="1"/>
  <c r="H56" i="17" s="1"/>
  <c r="C56" i="17"/>
  <c r="E56" i="17" s="1"/>
  <c r="D181" i="2"/>
  <c r="BC181" i="2"/>
  <c r="D242" i="2" s="1"/>
  <c r="BC242" i="2" s="1"/>
  <c r="D303" i="2" s="1"/>
  <c r="BC303" i="2" s="1"/>
  <c r="C51" i="1" l="1"/>
  <c r="C55" i="1" l="1"/>
  <c r="BC58" i="2"/>
  <c r="D60" i="2"/>
  <c r="D49" i="2" l="1"/>
  <c r="BC119" i="2"/>
  <c r="D119" i="2"/>
  <c r="E55" i="1"/>
  <c r="C58" i="1"/>
  <c r="I4" i="56" l="1"/>
  <c r="M4" i="56" s="1"/>
  <c r="LP23" i="44"/>
  <c r="D72" i="2"/>
  <c r="G55" i="1"/>
  <c r="BC180" i="2"/>
  <c r="D180" i="2"/>
  <c r="C85" i="1"/>
  <c r="D470" i="2"/>
  <c r="D492" i="2" s="1"/>
  <c r="D241" i="2" l="1"/>
  <c r="I55" i="1"/>
  <c r="K55" i="1" l="1"/>
  <c r="U55" i="17"/>
  <c r="BC241" i="2"/>
  <c r="D302" i="2" l="1"/>
  <c r="W55" i="17"/>
  <c r="C55" i="17"/>
  <c r="M55" i="1"/>
  <c r="BC302" i="2" l="1"/>
  <c r="E55" i="17"/>
  <c r="F55" i="17"/>
  <c r="H55" i="17" l="1"/>
  <c r="CU27" i="45" l="1"/>
  <c r="CU29" i="45" s="1"/>
  <c r="CU31" i="45" l="1"/>
  <c r="CS27" i="45"/>
  <c r="CS29" i="45" s="1"/>
  <c r="CT25" i="45"/>
  <c r="CU19" i="45"/>
  <c r="CS19" i="45"/>
  <c r="CS22" i="45" s="1"/>
  <c r="CT22" i="45"/>
  <c r="AR177" i="2" l="1"/>
  <c r="CU22" i="45"/>
  <c r="CT27" i="45"/>
  <c r="CT29" i="45" s="1"/>
  <c r="CV25" i="45"/>
  <c r="CS31" i="45"/>
  <c r="AR165" i="2"/>
  <c r="AR160" i="2"/>
  <c r="AR104" i="2"/>
  <c r="AR99" i="2"/>
  <c r="AR116" i="2"/>
  <c r="CX25" i="45" l="1"/>
  <c r="CV27" i="45"/>
  <c r="CV29" i="45" s="1"/>
  <c r="CT31" i="45"/>
  <c r="AR182" i="2"/>
  <c r="AR171" i="2" s="1"/>
  <c r="AR167" i="2"/>
  <c r="AR169" i="2" s="1"/>
  <c r="E44" i="56" s="1"/>
  <c r="AR106" i="2"/>
  <c r="AR108" i="2" s="1"/>
  <c r="AR121" i="2"/>
  <c r="D44" i="56" l="1"/>
  <c r="G44" i="56" s="1"/>
  <c r="AR476" i="2"/>
  <c r="AR498" i="2" s="1"/>
  <c r="K44" i="56"/>
  <c r="AR472" i="2"/>
  <c r="AR494" i="2" s="1"/>
  <c r="CV31" i="45"/>
  <c r="CX27" i="45"/>
  <c r="CX29" i="45" s="1"/>
  <c r="AR192" i="2"/>
  <c r="AR475" i="2"/>
  <c r="AR497" i="2" s="1"/>
  <c r="AR186" i="2"/>
  <c r="AR110" i="2"/>
  <c r="AR125" i="2"/>
  <c r="J44" i="56" l="1"/>
  <c r="M44" i="56" s="1"/>
  <c r="CX31" i="45"/>
  <c r="AR473" i="2"/>
  <c r="AR495" i="2" s="1"/>
  <c r="AR131" i="2"/>
  <c r="N110" i="53" l="1"/>
  <c r="P110" i="53" s="1"/>
  <c r="N106" i="53"/>
  <c r="P106" i="53" s="1"/>
  <c r="N102" i="53"/>
  <c r="P102" i="53" s="1"/>
  <c r="N98" i="53"/>
  <c r="P98" i="53" s="1"/>
  <c r="N94" i="53"/>
  <c r="P94" i="53" s="1"/>
  <c r="N90" i="53"/>
  <c r="P90" i="53" s="1"/>
  <c r="N86" i="53"/>
  <c r="P86" i="53" s="1"/>
  <c r="N82" i="53"/>
  <c r="P82" i="53" s="1"/>
  <c r="N78" i="53"/>
  <c r="P78" i="53" s="1"/>
  <c r="N74" i="53"/>
  <c r="P74" i="53" s="1"/>
  <c r="N70" i="53"/>
  <c r="P70" i="53" s="1"/>
  <c r="N66" i="53"/>
  <c r="P66" i="53" s="1"/>
  <c r="N62" i="53"/>
  <c r="P62" i="53" s="1"/>
  <c r="N58" i="53"/>
  <c r="P58" i="53" s="1"/>
  <c r="N54" i="53"/>
  <c r="P54" i="53" s="1"/>
  <c r="N50" i="53"/>
  <c r="P50" i="53" s="1"/>
  <c r="N46" i="53"/>
  <c r="P46" i="53" s="1"/>
  <c r="N42" i="53"/>
  <c r="P42" i="53" s="1"/>
  <c r="N38" i="53"/>
  <c r="P38" i="53" s="1"/>
  <c r="N34" i="53"/>
  <c r="P34" i="53" s="1"/>
  <c r="N30" i="53"/>
  <c r="P30" i="53" s="1"/>
  <c r="N26" i="53"/>
  <c r="P26" i="53" s="1"/>
  <c r="N22" i="53"/>
  <c r="P22" i="53" s="1"/>
  <c r="N18" i="53"/>
  <c r="P18" i="53" s="1"/>
  <c r="N14" i="53"/>
  <c r="P14" i="53" s="1"/>
  <c r="N10" i="53"/>
  <c r="P10" i="53" s="1"/>
  <c r="N6" i="53"/>
  <c r="P6" i="53" s="1"/>
  <c r="N56" i="53"/>
  <c r="P56" i="53" s="1"/>
  <c r="N36" i="53"/>
  <c r="P36" i="53" s="1"/>
  <c r="N24" i="53"/>
  <c r="P24" i="53" s="1"/>
  <c r="N8" i="53"/>
  <c r="P8" i="53" s="1"/>
  <c r="N51" i="53"/>
  <c r="P51" i="53" s="1"/>
  <c r="N31" i="53"/>
  <c r="P31" i="53" s="1"/>
  <c r="N11" i="53"/>
  <c r="P11" i="53" s="1"/>
  <c r="N113" i="53"/>
  <c r="P113" i="53" s="1"/>
  <c r="N109" i="53"/>
  <c r="P109" i="53" s="1"/>
  <c r="N105" i="53"/>
  <c r="P105" i="53" s="1"/>
  <c r="N101" i="53"/>
  <c r="P101" i="53" s="1"/>
  <c r="N97" i="53"/>
  <c r="P97" i="53" s="1"/>
  <c r="N93" i="53"/>
  <c r="P93" i="53" s="1"/>
  <c r="N89" i="53"/>
  <c r="P89" i="53" s="1"/>
  <c r="N85" i="53"/>
  <c r="P85" i="53" s="1"/>
  <c r="N81" i="53"/>
  <c r="P81" i="53" s="1"/>
  <c r="N77" i="53"/>
  <c r="P77" i="53" s="1"/>
  <c r="N73" i="53"/>
  <c r="P73" i="53" s="1"/>
  <c r="N69" i="53"/>
  <c r="P69" i="53" s="1"/>
  <c r="N65" i="53"/>
  <c r="P65" i="53" s="1"/>
  <c r="N61" i="53"/>
  <c r="P61" i="53" s="1"/>
  <c r="N57" i="53"/>
  <c r="P57" i="53" s="1"/>
  <c r="N53" i="53"/>
  <c r="P53" i="53" s="1"/>
  <c r="N49" i="53"/>
  <c r="P49" i="53" s="1"/>
  <c r="N45" i="53"/>
  <c r="P45" i="53" s="1"/>
  <c r="N41" i="53"/>
  <c r="P41" i="53" s="1"/>
  <c r="N37" i="53"/>
  <c r="P37" i="53" s="1"/>
  <c r="N33" i="53"/>
  <c r="P33" i="53" s="1"/>
  <c r="N29" i="53"/>
  <c r="P29" i="53" s="1"/>
  <c r="N25" i="53"/>
  <c r="P25" i="53" s="1"/>
  <c r="N21" i="53"/>
  <c r="P21" i="53" s="1"/>
  <c r="N17" i="53"/>
  <c r="P17" i="53" s="1"/>
  <c r="N13" i="53"/>
  <c r="P13" i="53" s="1"/>
  <c r="N9" i="53"/>
  <c r="P9" i="53" s="1"/>
  <c r="N5" i="53"/>
  <c r="P5" i="53" s="1"/>
  <c r="N112" i="53"/>
  <c r="P112" i="53" s="1"/>
  <c r="N104" i="53"/>
  <c r="P104" i="53" s="1"/>
  <c r="N96" i="53"/>
  <c r="P96" i="53" s="1"/>
  <c r="N92" i="53"/>
  <c r="P92" i="53" s="1"/>
  <c r="N84" i="53"/>
  <c r="P84" i="53" s="1"/>
  <c r="N80" i="53"/>
  <c r="P80" i="53" s="1"/>
  <c r="N72" i="53"/>
  <c r="P72" i="53" s="1"/>
  <c r="N64" i="53"/>
  <c r="P64" i="53" s="1"/>
  <c r="N52" i="53"/>
  <c r="P52" i="53" s="1"/>
  <c r="N44" i="53"/>
  <c r="P44" i="53" s="1"/>
  <c r="N28" i="53"/>
  <c r="P28" i="53" s="1"/>
  <c r="N12" i="53"/>
  <c r="P12" i="53" s="1"/>
  <c r="N55" i="53"/>
  <c r="P55" i="53" s="1"/>
  <c r="N39" i="53"/>
  <c r="P39" i="53" s="1"/>
  <c r="N19" i="53"/>
  <c r="P19" i="53" s="1"/>
  <c r="N108" i="53"/>
  <c r="P108" i="53" s="1"/>
  <c r="N100" i="53"/>
  <c r="P100" i="53" s="1"/>
  <c r="N88" i="53"/>
  <c r="P88" i="53" s="1"/>
  <c r="N76" i="53"/>
  <c r="P76" i="53" s="1"/>
  <c r="N68" i="53"/>
  <c r="P68" i="53" s="1"/>
  <c r="N60" i="53"/>
  <c r="P60" i="53" s="1"/>
  <c r="N40" i="53"/>
  <c r="P40" i="53" s="1"/>
  <c r="N20" i="53"/>
  <c r="P20" i="53" s="1"/>
  <c r="N63" i="53"/>
  <c r="P63" i="53" s="1"/>
  <c r="N35" i="53"/>
  <c r="P35" i="53" s="1"/>
  <c r="N7" i="53"/>
  <c r="P7" i="53" s="1"/>
  <c r="N111" i="53"/>
  <c r="P111" i="53" s="1"/>
  <c r="N107" i="53"/>
  <c r="P107" i="53" s="1"/>
  <c r="N103" i="53"/>
  <c r="P103" i="53" s="1"/>
  <c r="N99" i="53"/>
  <c r="P99" i="53" s="1"/>
  <c r="N95" i="53"/>
  <c r="P95" i="53" s="1"/>
  <c r="N91" i="53"/>
  <c r="P91" i="53" s="1"/>
  <c r="N87" i="53"/>
  <c r="P87" i="53" s="1"/>
  <c r="N83" i="53"/>
  <c r="P83" i="53" s="1"/>
  <c r="N79" i="53"/>
  <c r="P79" i="53" s="1"/>
  <c r="N75" i="53"/>
  <c r="P75" i="53" s="1"/>
  <c r="N71" i="53"/>
  <c r="P71" i="53" s="1"/>
  <c r="N67" i="53"/>
  <c r="P67" i="53" s="1"/>
  <c r="N59" i="53"/>
  <c r="P59" i="53" s="1"/>
  <c r="N43" i="53"/>
  <c r="P43" i="53" s="1"/>
  <c r="N23" i="53"/>
  <c r="P23" i="53" s="1"/>
  <c r="N48" i="53"/>
  <c r="P48" i="53" s="1"/>
  <c r="N32" i="53"/>
  <c r="P32" i="53" s="1"/>
  <c r="N16" i="53"/>
  <c r="P16" i="53" s="1"/>
  <c r="N4" i="53"/>
  <c r="N47" i="53"/>
  <c r="P47" i="53" s="1"/>
  <c r="N27" i="53"/>
  <c r="P27" i="53" s="1"/>
  <c r="N15" i="53"/>
  <c r="P15" i="53" s="1"/>
  <c r="J62" i="53"/>
  <c r="L62" i="53" s="1"/>
  <c r="Q62" i="53" s="1"/>
  <c r="J54" i="53"/>
  <c r="L54" i="53" s="1"/>
  <c r="Q54" i="53" s="1"/>
  <c r="J50" i="53"/>
  <c r="L50" i="53" s="1"/>
  <c r="Q50" i="53" s="1"/>
  <c r="J42" i="53"/>
  <c r="L42" i="53" s="1"/>
  <c r="Q42" i="53" s="1"/>
  <c r="J38" i="53"/>
  <c r="L38" i="53" s="1"/>
  <c r="Q38" i="53" s="1"/>
  <c r="J30" i="53"/>
  <c r="L30" i="53" s="1"/>
  <c r="Q30" i="53" s="1"/>
  <c r="J22" i="53"/>
  <c r="L22" i="53" s="1"/>
  <c r="Q22" i="53" s="1"/>
  <c r="J14" i="53"/>
  <c r="L14" i="53" s="1"/>
  <c r="Q14" i="53" s="1"/>
  <c r="J6" i="53"/>
  <c r="L6" i="53" s="1"/>
  <c r="Q6" i="53" s="1"/>
  <c r="J110" i="53"/>
  <c r="L110" i="53" s="1"/>
  <c r="Q110" i="53" s="1"/>
  <c r="J106" i="53"/>
  <c r="L106" i="53" s="1"/>
  <c r="Q106" i="53" s="1"/>
  <c r="J102" i="53"/>
  <c r="L102" i="53" s="1"/>
  <c r="Q102" i="53" s="1"/>
  <c r="J98" i="53"/>
  <c r="L98" i="53" s="1"/>
  <c r="Q98" i="53" s="1"/>
  <c r="J94" i="53"/>
  <c r="L94" i="53" s="1"/>
  <c r="Q94" i="53" s="1"/>
  <c r="J90" i="53"/>
  <c r="L90" i="53" s="1"/>
  <c r="Q90" i="53" s="1"/>
  <c r="J86" i="53"/>
  <c r="L86" i="53" s="1"/>
  <c r="Q86" i="53" s="1"/>
  <c r="J82" i="53"/>
  <c r="L82" i="53" s="1"/>
  <c r="Q82" i="53" s="1"/>
  <c r="J78" i="53"/>
  <c r="L78" i="53" s="1"/>
  <c r="Q78" i="53" s="1"/>
  <c r="J74" i="53"/>
  <c r="L74" i="53" s="1"/>
  <c r="Q74" i="53" s="1"/>
  <c r="J70" i="53"/>
  <c r="L70" i="53" s="1"/>
  <c r="Q70" i="53" s="1"/>
  <c r="J66" i="53"/>
  <c r="L66" i="53" s="1"/>
  <c r="Q66" i="53" s="1"/>
  <c r="J113" i="53"/>
  <c r="L113" i="53" s="1"/>
  <c r="Q113" i="53" s="1"/>
  <c r="J109" i="53"/>
  <c r="L109" i="53" s="1"/>
  <c r="Q109" i="53" s="1"/>
  <c r="J105" i="53"/>
  <c r="L105" i="53" s="1"/>
  <c r="Q105" i="53" s="1"/>
  <c r="J101" i="53"/>
  <c r="L101" i="53" s="1"/>
  <c r="Q101" i="53" s="1"/>
  <c r="J97" i="53"/>
  <c r="L97" i="53" s="1"/>
  <c r="Q97" i="53" s="1"/>
  <c r="J93" i="53"/>
  <c r="L93" i="53" s="1"/>
  <c r="Q93" i="53" s="1"/>
  <c r="J89" i="53"/>
  <c r="L89" i="53" s="1"/>
  <c r="Q89" i="53" s="1"/>
  <c r="J85" i="53"/>
  <c r="L85" i="53" s="1"/>
  <c r="Q85" i="53" s="1"/>
  <c r="J81" i="53"/>
  <c r="L81" i="53" s="1"/>
  <c r="Q81" i="53" s="1"/>
  <c r="J77" i="53"/>
  <c r="L77" i="53" s="1"/>
  <c r="Q77" i="53" s="1"/>
  <c r="J73" i="53"/>
  <c r="L73" i="53" s="1"/>
  <c r="Q73" i="53" s="1"/>
  <c r="J69" i="53"/>
  <c r="L69" i="53" s="1"/>
  <c r="Q69" i="53" s="1"/>
  <c r="J65" i="53"/>
  <c r="L65" i="53" s="1"/>
  <c r="Q65" i="53" s="1"/>
  <c r="J61" i="53"/>
  <c r="L61" i="53" s="1"/>
  <c r="Q61" i="53" s="1"/>
  <c r="J57" i="53"/>
  <c r="L57" i="53" s="1"/>
  <c r="Q57" i="53" s="1"/>
  <c r="J53" i="53"/>
  <c r="L53" i="53" s="1"/>
  <c r="Q53" i="53" s="1"/>
  <c r="J49" i="53"/>
  <c r="L49" i="53" s="1"/>
  <c r="Q49" i="53" s="1"/>
  <c r="J45" i="53"/>
  <c r="L45" i="53" s="1"/>
  <c r="Q45" i="53" s="1"/>
  <c r="J41" i="53"/>
  <c r="L41" i="53" s="1"/>
  <c r="Q41" i="53" s="1"/>
  <c r="J37" i="53"/>
  <c r="L37" i="53" s="1"/>
  <c r="Q37" i="53" s="1"/>
  <c r="J33" i="53"/>
  <c r="L33" i="53" s="1"/>
  <c r="Q33" i="53" s="1"/>
  <c r="J29" i="53"/>
  <c r="L29" i="53" s="1"/>
  <c r="Q29" i="53" s="1"/>
  <c r="J25" i="53"/>
  <c r="L25" i="53" s="1"/>
  <c r="Q25" i="53" s="1"/>
  <c r="J21" i="53"/>
  <c r="L21" i="53" s="1"/>
  <c r="Q21" i="53" s="1"/>
  <c r="J17" i="53"/>
  <c r="L17" i="53" s="1"/>
  <c r="Q17" i="53" s="1"/>
  <c r="J13" i="53"/>
  <c r="L13" i="53" s="1"/>
  <c r="Q13" i="53" s="1"/>
  <c r="J9" i="53"/>
  <c r="L9" i="53" s="1"/>
  <c r="Q9" i="53" s="1"/>
  <c r="J5" i="53"/>
  <c r="L5" i="53" s="1"/>
  <c r="Q5" i="53" s="1"/>
  <c r="J112" i="53"/>
  <c r="L112" i="53" s="1"/>
  <c r="Q112" i="53" s="1"/>
  <c r="J108" i="53"/>
  <c r="L108" i="53" s="1"/>
  <c r="Q108" i="53" s="1"/>
  <c r="J104" i="53"/>
  <c r="L104" i="53" s="1"/>
  <c r="Q104" i="53" s="1"/>
  <c r="J100" i="53"/>
  <c r="L100" i="53" s="1"/>
  <c r="Q100" i="53" s="1"/>
  <c r="J96" i="53"/>
  <c r="L96" i="53" s="1"/>
  <c r="Q96" i="53" s="1"/>
  <c r="J92" i="53"/>
  <c r="L92" i="53" s="1"/>
  <c r="Q92" i="53" s="1"/>
  <c r="J88" i="53"/>
  <c r="L88" i="53" s="1"/>
  <c r="Q88" i="53" s="1"/>
  <c r="J84" i="53"/>
  <c r="L84" i="53" s="1"/>
  <c r="Q84" i="53" s="1"/>
  <c r="J80" i="53"/>
  <c r="L80" i="53" s="1"/>
  <c r="Q80" i="53" s="1"/>
  <c r="J76" i="53"/>
  <c r="L76" i="53" s="1"/>
  <c r="Q76" i="53" s="1"/>
  <c r="J72" i="53"/>
  <c r="L72" i="53" s="1"/>
  <c r="Q72" i="53" s="1"/>
  <c r="J68" i="53"/>
  <c r="L68" i="53" s="1"/>
  <c r="Q68" i="53" s="1"/>
  <c r="J64" i="53"/>
  <c r="L64" i="53" s="1"/>
  <c r="Q64" i="53" s="1"/>
  <c r="J60" i="53"/>
  <c r="L60" i="53" s="1"/>
  <c r="Q60" i="53" s="1"/>
  <c r="J56" i="53"/>
  <c r="L56" i="53" s="1"/>
  <c r="Q56" i="53" s="1"/>
  <c r="J52" i="53"/>
  <c r="L52" i="53" s="1"/>
  <c r="Q52" i="53" s="1"/>
  <c r="J48" i="53"/>
  <c r="L48" i="53" s="1"/>
  <c r="Q48" i="53" s="1"/>
  <c r="J44" i="53"/>
  <c r="L44" i="53" s="1"/>
  <c r="Q44" i="53" s="1"/>
  <c r="J40" i="53"/>
  <c r="L40" i="53" s="1"/>
  <c r="Q40" i="53" s="1"/>
  <c r="J36" i="53"/>
  <c r="L36" i="53" s="1"/>
  <c r="Q36" i="53" s="1"/>
  <c r="J32" i="53"/>
  <c r="L32" i="53" s="1"/>
  <c r="Q32" i="53" s="1"/>
  <c r="J28" i="53"/>
  <c r="L28" i="53" s="1"/>
  <c r="Q28" i="53" s="1"/>
  <c r="J24" i="53"/>
  <c r="L24" i="53" s="1"/>
  <c r="Q24" i="53" s="1"/>
  <c r="J20" i="53"/>
  <c r="L20" i="53" s="1"/>
  <c r="Q20" i="53" s="1"/>
  <c r="J16" i="53"/>
  <c r="L16" i="53" s="1"/>
  <c r="Q16" i="53" s="1"/>
  <c r="J12" i="53"/>
  <c r="L12" i="53" s="1"/>
  <c r="Q12" i="53" s="1"/>
  <c r="J8" i="53"/>
  <c r="L8" i="53" s="1"/>
  <c r="Q8" i="53" s="1"/>
  <c r="J4" i="53"/>
  <c r="J111" i="53"/>
  <c r="L111" i="53" s="1"/>
  <c r="Q111" i="53" s="1"/>
  <c r="J107" i="53"/>
  <c r="L107" i="53" s="1"/>
  <c r="Q107" i="53" s="1"/>
  <c r="J103" i="53"/>
  <c r="L103" i="53" s="1"/>
  <c r="Q103" i="53" s="1"/>
  <c r="J99" i="53"/>
  <c r="L99" i="53" s="1"/>
  <c r="Q99" i="53" s="1"/>
  <c r="J95" i="53"/>
  <c r="L95" i="53" s="1"/>
  <c r="Q95" i="53" s="1"/>
  <c r="J91" i="53"/>
  <c r="L91" i="53" s="1"/>
  <c r="Q91" i="53" s="1"/>
  <c r="J87" i="53"/>
  <c r="L87" i="53" s="1"/>
  <c r="Q87" i="53" s="1"/>
  <c r="J83" i="53"/>
  <c r="L83" i="53" s="1"/>
  <c r="Q83" i="53" s="1"/>
  <c r="J79" i="53"/>
  <c r="L79" i="53" s="1"/>
  <c r="Q79" i="53" s="1"/>
  <c r="J75" i="53"/>
  <c r="L75" i="53" s="1"/>
  <c r="Q75" i="53" s="1"/>
  <c r="J71" i="53"/>
  <c r="L71" i="53" s="1"/>
  <c r="Q71" i="53" s="1"/>
  <c r="J67" i="53"/>
  <c r="L67" i="53" s="1"/>
  <c r="Q67" i="53" s="1"/>
  <c r="J63" i="53"/>
  <c r="L63" i="53" s="1"/>
  <c r="Q63" i="53" s="1"/>
  <c r="J59" i="53"/>
  <c r="L59" i="53" s="1"/>
  <c r="Q59" i="53" s="1"/>
  <c r="J55" i="53"/>
  <c r="L55" i="53" s="1"/>
  <c r="Q55" i="53" s="1"/>
  <c r="J51" i="53"/>
  <c r="L51" i="53" s="1"/>
  <c r="Q51" i="53" s="1"/>
  <c r="J47" i="53"/>
  <c r="L47" i="53" s="1"/>
  <c r="Q47" i="53" s="1"/>
  <c r="J43" i="53"/>
  <c r="L43" i="53" s="1"/>
  <c r="Q43" i="53" s="1"/>
  <c r="J39" i="53"/>
  <c r="L39" i="53" s="1"/>
  <c r="Q39" i="53" s="1"/>
  <c r="J35" i="53"/>
  <c r="L35" i="53" s="1"/>
  <c r="Q35" i="53" s="1"/>
  <c r="J31" i="53"/>
  <c r="L31" i="53" s="1"/>
  <c r="Q31" i="53" s="1"/>
  <c r="J27" i="53"/>
  <c r="L27" i="53" s="1"/>
  <c r="Q27" i="53" s="1"/>
  <c r="J23" i="53"/>
  <c r="L23" i="53" s="1"/>
  <c r="Q23" i="53" s="1"/>
  <c r="J19" i="53"/>
  <c r="L19" i="53" s="1"/>
  <c r="Q19" i="53" s="1"/>
  <c r="J15" i="53"/>
  <c r="L15" i="53" s="1"/>
  <c r="Q15" i="53" s="1"/>
  <c r="J11" i="53"/>
  <c r="L11" i="53" s="1"/>
  <c r="Q11" i="53" s="1"/>
  <c r="J7" i="53"/>
  <c r="L7" i="53" s="1"/>
  <c r="Q7" i="53" s="1"/>
  <c r="J58" i="53"/>
  <c r="L58" i="53" s="1"/>
  <c r="Q58" i="53" s="1"/>
  <c r="J46" i="53"/>
  <c r="L46" i="53" s="1"/>
  <c r="Q46" i="53" s="1"/>
  <c r="J34" i="53"/>
  <c r="L34" i="53" s="1"/>
  <c r="Q34" i="53" s="1"/>
  <c r="J26" i="53"/>
  <c r="L26" i="53" s="1"/>
  <c r="Q26" i="53" s="1"/>
  <c r="J18" i="53"/>
  <c r="L18" i="53" s="1"/>
  <c r="Q18" i="53" s="1"/>
  <c r="J10" i="53"/>
  <c r="L10" i="53" s="1"/>
  <c r="Q10" i="53" s="1"/>
  <c r="E177" i="53" l="1"/>
  <c r="O3" i="53"/>
  <c r="E181" i="53"/>
  <c r="G181" i="53" s="1"/>
  <c r="I181" i="53" s="1"/>
  <c r="K181" i="53" s="1"/>
  <c r="M181" i="53" s="1"/>
  <c r="J114" i="53"/>
  <c r="L4" i="53"/>
  <c r="Q4" i="53" s="1"/>
  <c r="P4" i="53"/>
  <c r="N114" i="53"/>
  <c r="K3" i="53"/>
  <c r="E174" i="53"/>
  <c r="G174" i="53" s="1"/>
  <c r="I174" i="53" s="1"/>
  <c r="K174" i="53" s="1"/>
  <c r="M174" i="53" s="1"/>
  <c r="E166" i="53"/>
  <c r="C37" i="1"/>
  <c r="C41" i="1"/>
  <c r="C36" i="1"/>
  <c r="P117" i="53" l="1"/>
  <c r="E176" i="53"/>
  <c r="G166" i="53"/>
  <c r="C33" i="1"/>
  <c r="O114" i="53"/>
  <c r="O123" i="53" s="1"/>
  <c r="P3" i="53"/>
  <c r="C40" i="1"/>
  <c r="K114" i="53"/>
  <c r="K123" i="53" s="1"/>
  <c r="L3" i="53"/>
  <c r="G177" i="53"/>
  <c r="E183" i="53"/>
  <c r="N123" i="53"/>
  <c r="F182" i="53"/>
  <c r="C34" i="1"/>
  <c r="C43" i="1"/>
  <c r="F175" i="53"/>
  <c r="J123" i="53"/>
  <c r="D45" i="2"/>
  <c r="D47" i="2" s="1"/>
  <c r="C4" i="56" l="1"/>
  <c r="G4" i="56" s="1"/>
  <c r="P114" i="53"/>
  <c r="P118" i="53" s="1"/>
  <c r="D469" i="2"/>
  <c r="D491" i="2" s="1"/>
  <c r="D64" i="2"/>
  <c r="D51" i="2"/>
  <c r="G175" i="53"/>
  <c r="G176" i="53" s="1"/>
  <c r="F176" i="53"/>
  <c r="F183" i="53"/>
  <c r="G182" i="53"/>
  <c r="D5" i="52"/>
  <c r="D4" i="52" s="1"/>
  <c r="C38" i="1"/>
  <c r="L114" i="53"/>
  <c r="Q114" i="53" s="1"/>
  <c r="Q118" i="53" s="1"/>
  <c r="Q3" i="53"/>
  <c r="E188" i="53"/>
  <c r="F188" i="53" l="1"/>
  <c r="C45" i="1"/>
  <c r="C47" i="1" s="1"/>
  <c r="C62" i="1" s="1"/>
  <c r="C44" i="1"/>
  <c r="G183" i="53"/>
  <c r="G191" i="53" s="1"/>
  <c r="D71" i="2" l="1"/>
  <c r="C49" i="1"/>
  <c r="C84" i="1"/>
  <c r="G188" i="53"/>
  <c r="G192" i="53" s="1"/>
  <c r="RH24" i="44" l="1"/>
  <c r="RH22" i="44"/>
  <c r="RL20" i="44" l="1"/>
  <c r="RH23" i="44"/>
  <c r="RH20" i="44"/>
  <c r="RN20" i="44" l="1"/>
  <c r="RJ23" i="44"/>
  <c r="RL23" i="44"/>
  <c r="RN23" i="44"/>
  <c r="RJ18" i="44"/>
  <c r="RL18" i="44"/>
  <c r="RJ20" i="44"/>
  <c r="RN18" i="44"/>
  <c r="RH18" i="44"/>
  <c r="RJ24" i="44" l="1"/>
  <c r="RL24" i="44" l="1"/>
  <c r="RN24" i="44" l="1"/>
  <c r="X50" i="44" l="1"/>
  <c r="L77" i="54" l="1"/>
  <c r="Z50" i="44"/>
  <c r="W61" i="44"/>
  <c r="AB50" i="44" l="1"/>
  <c r="X61" i="44"/>
  <c r="F26" i="2"/>
  <c r="Z61" i="44" l="1"/>
  <c r="F29" i="2"/>
  <c r="BB26" i="2"/>
  <c r="AD50" i="44"/>
  <c r="AF50" i="44" l="1"/>
  <c r="BB29" i="2"/>
  <c r="BC26" i="2"/>
  <c r="D25" i="1"/>
  <c r="M77" i="54" s="1"/>
  <c r="AB61" i="44"/>
  <c r="AD61" i="44" l="1"/>
  <c r="E25" i="1"/>
  <c r="D28" i="1"/>
  <c r="D87" i="2"/>
  <c r="D90" i="2" s="1"/>
  <c r="BC29" i="2"/>
  <c r="BC87" i="2"/>
  <c r="D148" i="2" l="1"/>
  <c r="D151" i="2" s="1"/>
  <c r="BC90" i="2"/>
  <c r="BC148" i="2"/>
  <c r="AF61" i="44"/>
  <c r="E28" i="1"/>
  <c r="G25" i="1"/>
  <c r="Z1" i="44"/>
  <c r="D209" i="2" l="1"/>
  <c r="BC151" i="2"/>
  <c r="G28" i="1"/>
  <c r="I25" i="1"/>
  <c r="BC209" i="2" l="1"/>
  <c r="D212" i="2"/>
  <c r="U25" i="17"/>
  <c r="I28" i="1"/>
  <c r="K25" i="1"/>
  <c r="BC212" i="2" l="1"/>
  <c r="D270" i="2"/>
  <c r="K28" i="1"/>
  <c r="C25" i="17"/>
  <c r="M25" i="1"/>
  <c r="M76" i="54" s="1"/>
  <c r="W25" i="17"/>
  <c r="W28" i="17" s="1"/>
  <c r="U28" i="17"/>
  <c r="BC270" i="2" l="1"/>
  <c r="BC273" i="2" s="1"/>
  <c r="D273" i="2"/>
  <c r="C28" i="17"/>
  <c r="E25" i="17"/>
  <c r="E28" i="17" s="1"/>
  <c r="F25" i="17"/>
  <c r="M28" i="1"/>
  <c r="H25" i="17" l="1"/>
  <c r="H28" i="17" s="1"/>
  <c r="F28" i="17"/>
  <c r="SS37" i="44" l="1"/>
  <c r="SS35" i="44"/>
  <c r="SS36" i="44" l="1"/>
  <c r="AH100" i="2"/>
  <c r="SS54" i="44"/>
  <c r="SS19" i="44"/>
  <c r="SS55" i="44"/>
  <c r="SU37" i="44"/>
  <c r="SU35" i="44"/>
  <c r="SS53" i="44"/>
  <c r="SU19" i="44" l="1"/>
  <c r="SW19" i="44" s="1"/>
  <c r="SU53" i="44"/>
  <c r="AI222" i="2"/>
  <c r="SU55" i="44"/>
  <c r="SW55" i="44" s="1"/>
  <c r="SW37" i="44"/>
  <c r="SY37" i="44" s="1"/>
  <c r="SR90" i="44"/>
  <c r="SS90" i="44" s="1"/>
  <c r="AG100" i="2"/>
  <c r="SS18" i="44"/>
  <c r="SU54" i="44"/>
  <c r="SW54" i="44" s="1"/>
  <c r="SY54" i="44" s="1"/>
  <c r="AI161" i="2"/>
  <c r="SW35" i="44"/>
  <c r="SY35" i="44" s="1"/>
  <c r="SR88" i="44"/>
  <c r="SS34" i="44"/>
  <c r="SS38" i="44" s="1"/>
  <c r="AH99" i="2"/>
  <c r="SR38" i="44"/>
  <c r="SR40" i="44" s="1"/>
  <c r="SW53" i="44"/>
  <c r="SY53" i="44" s="1"/>
  <c r="AH283" i="2"/>
  <c r="AI100" i="2"/>
  <c r="AH222" i="2"/>
  <c r="SS73" i="44"/>
  <c r="SR91" i="44"/>
  <c r="SS91" i="44" s="1"/>
  <c r="SU36" i="44"/>
  <c r="SW36" i="44" s="1"/>
  <c r="SY36" i="44" s="1"/>
  <c r="AH161" i="2"/>
  <c r="SS52" i="44"/>
  <c r="SS56" i="44" s="1"/>
  <c r="AI99" i="2"/>
  <c r="SR56" i="44"/>
  <c r="SR58" i="44" s="1"/>
  <c r="SS70" i="44"/>
  <c r="SS16" i="44"/>
  <c r="AJ100" i="2"/>
  <c r="SS72" i="44"/>
  <c r="SU72" i="44" s="1"/>
  <c r="AI283" i="2"/>
  <c r="SV89" i="44"/>
  <c r="AJ161" i="2"/>
  <c r="SX89" i="44"/>
  <c r="SS17" i="44"/>
  <c r="SU17" i="44" s="1"/>
  <c r="SW17" i="44" s="1"/>
  <c r="ST90" i="44"/>
  <c r="AG222" i="2"/>
  <c r="SS40" i="44" l="1"/>
  <c r="SS42" i="44" s="1"/>
  <c r="SS44" i="44" s="1"/>
  <c r="SS58" i="44"/>
  <c r="SS60" i="44" s="1"/>
  <c r="SS62" i="44" s="1"/>
  <c r="SU90" i="44"/>
  <c r="SV90" i="44"/>
  <c r="SW72" i="44"/>
  <c r="SY72" i="44" s="1"/>
  <c r="AG99" i="2"/>
  <c r="AJ283" i="2"/>
  <c r="SX90" i="44"/>
  <c r="AH221" i="2"/>
  <c r="SV38" i="44"/>
  <c r="SV40" i="44" s="1"/>
  <c r="SV56" i="44"/>
  <c r="SV58" i="44" s="1"/>
  <c r="AI221" i="2"/>
  <c r="SR20" i="44"/>
  <c r="SR22" i="44" s="1"/>
  <c r="SU34" i="44"/>
  <c r="SU38" i="44" s="1"/>
  <c r="ST38" i="44"/>
  <c r="ST40" i="44" s="1"/>
  <c r="AH160" i="2"/>
  <c r="AJ99" i="2"/>
  <c r="SS71" i="44"/>
  <c r="SS74" i="44" s="1"/>
  <c r="SS76" i="44" s="1"/>
  <c r="SS78" i="44" s="1"/>
  <c r="SS80" i="44" s="1"/>
  <c r="SR89" i="44"/>
  <c r="SS89" i="44" s="1"/>
  <c r="SS20" i="44"/>
  <c r="SU52" i="44"/>
  <c r="SU56" i="44" s="1"/>
  <c r="AI160" i="2"/>
  <c r="ST56" i="44"/>
  <c r="ST58" i="44" s="1"/>
  <c r="SV20" i="44"/>
  <c r="SV22" i="44" s="1"/>
  <c r="AG221" i="2"/>
  <c r="AG282" i="2"/>
  <c r="SR74" i="44"/>
  <c r="SR76" i="44" s="1"/>
  <c r="SR42" i="44"/>
  <c r="AH104" i="2" s="1"/>
  <c r="SX56" i="44"/>
  <c r="SX58" i="44" s="1"/>
  <c r="AI282" i="2"/>
  <c r="SX38" i="44"/>
  <c r="SX40" i="44" s="1"/>
  <c r="AH282" i="2"/>
  <c r="SX74" i="44"/>
  <c r="SX76" i="44" s="1"/>
  <c r="AJ282" i="2"/>
  <c r="SX88" i="44"/>
  <c r="SR60" i="44"/>
  <c r="AI104" i="2" s="1"/>
  <c r="SS88" i="44"/>
  <c r="AJ221" i="2"/>
  <c r="SV88" i="44"/>
  <c r="AJ115" i="2"/>
  <c r="SS82" i="44"/>
  <c r="SU73" i="44"/>
  <c r="ST91" i="44"/>
  <c r="SU91" i="44" s="1"/>
  <c r="SY17" i="44"/>
  <c r="SV91" i="44"/>
  <c r="ST20" i="44"/>
  <c r="ST22" i="44" s="1"/>
  <c r="AG161" i="2"/>
  <c r="SU18" i="44"/>
  <c r="SW18" i="44" s="1"/>
  <c r="SY18" i="44" s="1"/>
  <c r="SX20" i="44"/>
  <c r="SX22" i="44" s="1"/>
  <c r="AG160" i="2"/>
  <c r="SU16" i="44"/>
  <c r="SU70" i="44"/>
  <c r="SW70" i="44" s="1"/>
  <c r="ST88" i="44"/>
  <c r="SS46" i="44"/>
  <c r="AH115" i="2"/>
  <c r="ST89" i="44"/>
  <c r="AI115" i="2"/>
  <c r="SS64" i="44"/>
  <c r="SY55" i="44"/>
  <c r="SW90" i="44" l="1"/>
  <c r="SU58" i="44"/>
  <c r="SU60" i="44" s="1"/>
  <c r="SU62" i="44" s="1"/>
  <c r="SU40" i="44"/>
  <c r="SU42" i="44" s="1"/>
  <c r="SU44" i="44" s="1"/>
  <c r="SS22" i="44"/>
  <c r="SS24" i="44" s="1"/>
  <c r="SS26" i="44" s="1"/>
  <c r="SR44" i="44"/>
  <c r="SV74" i="44"/>
  <c r="SV76" i="44" s="1"/>
  <c r="SV78" i="44" s="1"/>
  <c r="AJ226" i="2" s="1"/>
  <c r="SR62" i="44"/>
  <c r="SW52" i="44"/>
  <c r="SY90" i="44"/>
  <c r="SW91" i="44"/>
  <c r="SW73" i="44"/>
  <c r="SY73" i="44" s="1"/>
  <c r="SU89" i="44"/>
  <c r="SW89" i="44" s="1"/>
  <c r="SY89" i="44" s="1"/>
  <c r="SR92" i="44"/>
  <c r="SR94" i="44" s="1"/>
  <c r="SR96" i="44" s="1"/>
  <c r="SR98" i="44" s="1"/>
  <c r="SS92" i="44"/>
  <c r="SS94" i="44" s="1"/>
  <c r="SS96" i="44" s="1"/>
  <c r="SS98" i="44" s="1"/>
  <c r="SX24" i="44"/>
  <c r="AG287" i="2" s="1"/>
  <c r="AI176" i="2"/>
  <c r="SR67" i="44"/>
  <c r="AI116" i="2"/>
  <c r="SS65" i="44"/>
  <c r="ST74" i="44"/>
  <c r="ST76" i="44" s="1"/>
  <c r="ST42" i="44"/>
  <c r="AH165" i="2" s="1"/>
  <c r="AH167" i="2" s="1"/>
  <c r="AH169" i="2" s="1"/>
  <c r="E34" i="56" s="1"/>
  <c r="AH298" i="2"/>
  <c r="SU82" i="44"/>
  <c r="SR24" i="44"/>
  <c r="AG104" i="2" s="1"/>
  <c r="AG116" i="2"/>
  <c r="SS29" i="44"/>
  <c r="SX60" i="44"/>
  <c r="AI287" i="2" s="1"/>
  <c r="AI289" i="2" s="1"/>
  <c r="AI291" i="2" s="1"/>
  <c r="H35" i="56" s="1"/>
  <c r="AH176" i="2"/>
  <c r="SU46" i="44"/>
  <c r="SW46" i="44" s="1"/>
  <c r="AH237" i="2"/>
  <c r="AJ176" i="2"/>
  <c r="SU88" i="44"/>
  <c r="ST92" i="44"/>
  <c r="ST94" i="44" s="1"/>
  <c r="ST96" i="44" s="1"/>
  <c r="ST98" i="44" s="1"/>
  <c r="SV92" i="44"/>
  <c r="SV94" i="44" s="1"/>
  <c r="SV96" i="44" s="1"/>
  <c r="SV98" i="44" s="1"/>
  <c r="AH106" i="2"/>
  <c r="AH108" i="2" s="1"/>
  <c r="SV60" i="44"/>
  <c r="AI226" i="2" s="1"/>
  <c r="AI228" i="2" s="1"/>
  <c r="AI230" i="2" s="1"/>
  <c r="F35" i="56" s="1"/>
  <c r="AG176" i="2"/>
  <c r="SS47" i="44"/>
  <c r="AH116" i="2"/>
  <c r="SR85" i="44"/>
  <c r="SS83" i="44"/>
  <c r="SR101" i="44"/>
  <c r="AJ116" i="2"/>
  <c r="SR78" i="44"/>
  <c r="AJ104" i="2" s="1"/>
  <c r="SW34" i="44"/>
  <c r="AG118" i="2"/>
  <c r="SS30" i="44"/>
  <c r="AJ160" i="2"/>
  <c r="SV42" i="44"/>
  <c r="AH226" i="2" s="1"/>
  <c r="AH228" i="2" s="1"/>
  <c r="AH230" i="2" s="1"/>
  <c r="F34" i="56" s="1"/>
  <c r="AJ237" i="2"/>
  <c r="AG237" i="2"/>
  <c r="AI237" i="2"/>
  <c r="SW16" i="44"/>
  <c r="SU20" i="44"/>
  <c r="AI298" i="2"/>
  <c r="SX91" i="44"/>
  <c r="SY19" i="44"/>
  <c r="AI106" i="2"/>
  <c r="AI108" i="2" s="1"/>
  <c r="SV24" i="44"/>
  <c r="AG226" i="2" s="1"/>
  <c r="AG228" i="2" s="1"/>
  <c r="AG230" i="2" s="1"/>
  <c r="ST60" i="44"/>
  <c r="AI165" i="2" s="1"/>
  <c r="AI167" i="2" s="1"/>
  <c r="AI169" i="2" s="1"/>
  <c r="E35" i="56" s="1"/>
  <c r="AG283" i="2"/>
  <c r="AG115" i="2"/>
  <c r="SS28" i="44"/>
  <c r="SR31" i="44"/>
  <c r="SY70" i="44"/>
  <c r="SX42" i="44"/>
  <c r="AH287" i="2" s="1"/>
  <c r="AH289" i="2" s="1"/>
  <c r="AH291" i="2" s="1"/>
  <c r="H34" i="56" s="1"/>
  <c r="AG298" i="2"/>
  <c r="SS84" i="44"/>
  <c r="AJ118" i="2"/>
  <c r="AI118" i="2"/>
  <c r="SS66" i="44"/>
  <c r="ST24" i="44"/>
  <c r="AG165" i="2" s="1"/>
  <c r="AG167" i="2" s="1"/>
  <c r="AG169" i="2" s="1"/>
  <c r="E33" i="56" s="1"/>
  <c r="AJ222" i="2"/>
  <c r="SX78" i="44"/>
  <c r="AJ287" i="2" s="1"/>
  <c r="AJ289" i="2" s="1"/>
  <c r="AJ291" i="2" s="1"/>
  <c r="H36" i="56" s="1"/>
  <c r="AJ298" i="2"/>
  <c r="SU64" i="44"/>
  <c r="SU71" i="44"/>
  <c r="SW71" i="44" s="1"/>
  <c r="SY71" i="44" s="1"/>
  <c r="AI240" i="2"/>
  <c r="AI301" i="2"/>
  <c r="AI238" i="2"/>
  <c r="AH177" i="2"/>
  <c r="AH299" i="2"/>
  <c r="AI299" i="2"/>
  <c r="AH238" i="2"/>
  <c r="AI177" i="2"/>
  <c r="AG240" i="2"/>
  <c r="AG299" i="2"/>
  <c r="AG238" i="2"/>
  <c r="AG301" i="2"/>
  <c r="SR49" i="44"/>
  <c r="SU22" i="44" l="1"/>
  <c r="SU24" i="44" s="1"/>
  <c r="SU26" i="44" s="1"/>
  <c r="D34" i="56"/>
  <c r="G34" i="56" s="1"/>
  <c r="D35" i="56"/>
  <c r="G35" i="56" s="1"/>
  <c r="AG478" i="2"/>
  <c r="AG500" i="2" s="1"/>
  <c r="F33" i="56"/>
  <c r="SY91" i="44"/>
  <c r="ST62" i="44"/>
  <c r="SU92" i="44"/>
  <c r="SU94" i="44" s="1"/>
  <c r="SU96" i="44" s="1"/>
  <c r="SU98" i="44" s="1"/>
  <c r="SX26" i="44"/>
  <c r="SS67" i="44"/>
  <c r="ST85" i="44"/>
  <c r="SX85" i="44"/>
  <c r="SX44" i="44"/>
  <c r="SV80" i="44"/>
  <c r="SW88" i="44"/>
  <c r="SW92" i="44" s="1"/>
  <c r="SW94" i="44" s="1"/>
  <c r="SW96" i="44" s="1"/>
  <c r="SW98" i="44" s="1"/>
  <c r="ST44" i="44"/>
  <c r="SX62" i="44"/>
  <c r="SS85" i="44"/>
  <c r="SW56" i="44"/>
  <c r="SY52" i="44"/>
  <c r="SY56" i="44" s="1"/>
  <c r="SY74" i="44"/>
  <c r="SY76" i="44" s="1"/>
  <c r="SY78" i="44" s="1"/>
  <c r="SY80" i="44" s="1"/>
  <c r="SX80" i="44"/>
  <c r="ST26" i="44"/>
  <c r="SU74" i="44"/>
  <c r="SU76" i="44" s="1"/>
  <c r="SU78" i="44" s="1"/>
  <c r="SU80" i="44" s="1"/>
  <c r="AJ121" i="2"/>
  <c r="AJ110" i="2" s="1"/>
  <c r="SS101" i="44"/>
  <c r="SR26" i="44"/>
  <c r="AG475" i="2"/>
  <c r="AG497" i="2" s="1"/>
  <c r="AJ481" i="2"/>
  <c r="AJ503" i="2" s="1"/>
  <c r="AJ299" i="2"/>
  <c r="SX101" i="44"/>
  <c r="SW38" i="44"/>
  <c r="SY34" i="44"/>
  <c r="SY38" i="44" s="1"/>
  <c r="SU66" i="44"/>
  <c r="SW66" i="44" s="1"/>
  <c r="SY66" i="44" s="1"/>
  <c r="AI179" i="2"/>
  <c r="AI182" i="2" s="1"/>
  <c r="AI171" i="2" s="1"/>
  <c r="SU28" i="44"/>
  <c r="SU100" i="44" s="1"/>
  <c r="SS31" i="44"/>
  <c r="SR80" i="44"/>
  <c r="SS100" i="44"/>
  <c r="AG121" i="2"/>
  <c r="AG110" i="2" s="1"/>
  <c r="AJ106" i="2"/>
  <c r="AJ108" i="2" s="1"/>
  <c r="AH301" i="2"/>
  <c r="AH304" i="2" s="1"/>
  <c r="AH240" i="2"/>
  <c r="SY46" i="44"/>
  <c r="AJ179" i="2"/>
  <c r="SU84" i="44"/>
  <c r="SW20" i="44"/>
  <c r="SY16" i="44"/>
  <c r="SY20" i="44" s="1"/>
  <c r="SV49" i="44"/>
  <c r="SX49" i="44"/>
  <c r="AI475" i="2"/>
  <c r="AI497" i="2" s="1"/>
  <c r="SV67" i="44"/>
  <c r="AG106" i="2"/>
  <c r="AG108" i="2" s="1"/>
  <c r="SV101" i="44"/>
  <c r="AJ238" i="2"/>
  <c r="AI243" i="2"/>
  <c r="AI232" i="2" s="1"/>
  <c r="ST49" i="44"/>
  <c r="AJ177" i="2"/>
  <c r="ST101" i="44"/>
  <c r="SU83" i="44"/>
  <c r="SW83" i="44" s="1"/>
  <c r="SY83" i="44" s="1"/>
  <c r="AH475" i="2"/>
  <c r="AH497" i="2" s="1"/>
  <c r="AG177" i="2"/>
  <c r="SU29" i="44"/>
  <c r="SW29" i="44" s="1"/>
  <c r="SY29" i="44" s="1"/>
  <c r="AI304" i="2"/>
  <c r="AI293" i="2" s="1"/>
  <c r="SV31" i="44"/>
  <c r="ST78" i="44"/>
  <c r="AJ165" i="2" s="1"/>
  <c r="AJ167" i="2" s="1"/>
  <c r="AJ169" i="2" s="1"/>
  <c r="E36" i="56" s="1"/>
  <c r="SX92" i="44"/>
  <c r="SX94" i="44" s="1"/>
  <c r="SX96" i="44" s="1"/>
  <c r="SX98" i="44" s="1"/>
  <c r="SV26" i="44"/>
  <c r="AG243" i="2"/>
  <c r="SU47" i="44"/>
  <c r="SW47" i="44" s="1"/>
  <c r="SY47" i="44" s="1"/>
  <c r="SU65" i="44"/>
  <c r="SW65" i="44" s="1"/>
  <c r="SY65" i="44" s="1"/>
  <c r="SW82" i="44"/>
  <c r="ST31" i="44"/>
  <c r="SW74" i="44"/>
  <c r="SW76" i="44" s="1"/>
  <c r="SW78" i="44" s="1"/>
  <c r="SW80" i="44" s="1"/>
  <c r="AI121" i="2"/>
  <c r="AI110" i="2" s="1"/>
  <c r="AJ240" i="2"/>
  <c r="SV85" i="44"/>
  <c r="AJ301" i="2"/>
  <c r="AI472" i="2"/>
  <c r="AI494" i="2" s="1"/>
  <c r="ST67" i="44"/>
  <c r="SU30" i="44"/>
  <c r="SW30" i="44" s="1"/>
  <c r="SY30" i="44" s="1"/>
  <c r="AG179" i="2"/>
  <c r="AH179" i="2"/>
  <c r="AH182" i="2" s="1"/>
  <c r="SV44" i="44"/>
  <c r="SV62" i="44"/>
  <c r="AH481" i="2"/>
  <c r="AH503" i="2" s="1"/>
  <c r="AH478" i="2"/>
  <c r="AH500" i="2" s="1"/>
  <c r="AI478" i="2"/>
  <c r="AI500" i="2" s="1"/>
  <c r="AI481" i="2"/>
  <c r="AI503" i="2" s="1"/>
  <c r="SW64" i="44"/>
  <c r="SX67" i="44"/>
  <c r="SX31" i="44"/>
  <c r="SS48" i="44"/>
  <c r="SS102" i="44" s="1"/>
  <c r="SR102" i="44" s="1"/>
  <c r="AH118" i="2"/>
  <c r="AH121" i="2" s="1"/>
  <c r="AG304" i="2"/>
  <c r="AG293" i="2" s="1"/>
  <c r="AJ228" i="2"/>
  <c r="AJ230" i="2" s="1"/>
  <c r="F36" i="56" s="1"/>
  <c r="AH472" i="2"/>
  <c r="AH494" i="2" s="1"/>
  <c r="AG289" i="2"/>
  <c r="AG291" i="2" s="1"/>
  <c r="H33" i="56" s="1"/>
  <c r="SW22" i="44" l="1"/>
  <c r="SW24" i="44" s="1"/>
  <c r="SW26" i="44" s="1"/>
  <c r="SY58" i="44"/>
  <c r="SY60" i="44" s="1"/>
  <c r="SY62" i="44" s="1"/>
  <c r="SW58" i="44"/>
  <c r="SW60" i="44" s="1"/>
  <c r="SW62" i="44" s="1"/>
  <c r="SY40" i="44"/>
  <c r="SY42" i="44" s="1"/>
  <c r="SY44" i="44" s="1"/>
  <c r="SY22" i="44"/>
  <c r="SY24" i="44" s="1"/>
  <c r="SY26" i="44" s="1"/>
  <c r="SW40" i="44"/>
  <c r="SW42" i="44" s="1"/>
  <c r="SW44" i="44" s="1"/>
  <c r="J35" i="56"/>
  <c r="D36" i="56"/>
  <c r="G36" i="56" s="1"/>
  <c r="J36" i="56"/>
  <c r="J33" i="56"/>
  <c r="D33" i="56"/>
  <c r="G33" i="56" s="1"/>
  <c r="AG482" i="2"/>
  <c r="AG504" i="2" s="1"/>
  <c r="N33" i="56"/>
  <c r="AI476" i="2"/>
  <c r="AI498" i="2" s="1"/>
  <c r="K35" i="56"/>
  <c r="AI479" i="2"/>
  <c r="AI501" i="2" s="1"/>
  <c r="L35" i="56"/>
  <c r="AI482" i="2"/>
  <c r="AI504" i="2" s="1"/>
  <c r="N35" i="56"/>
  <c r="AJ473" i="2"/>
  <c r="AJ495" i="2" s="1"/>
  <c r="SY88" i="44"/>
  <c r="SY92" i="44" s="1"/>
  <c r="SY94" i="44" s="1"/>
  <c r="SY96" i="44" s="1"/>
  <c r="SY98" i="44" s="1"/>
  <c r="AI192" i="2"/>
  <c r="AI314" i="2"/>
  <c r="AJ243" i="2"/>
  <c r="AJ232" i="2" s="1"/>
  <c r="AI308" i="2"/>
  <c r="AG131" i="2"/>
  <c r="SU48" i="44"/>
  <c r="SW48" i="44" s="1"/>
  <c r="SY48" i="44" s="1"/>
  <c r="SY49" i="44" s="1"/>
  <c r="AH243" i="2"/>
  <c r="AI186" i="2"/>
  <c r="SY101" i="44"/>
  <c r="AG314" i="2"/>
  <c r="AH293" i="2"/>
  <c r="AH308" i="2"/>
  <c r="AJ304" i="2"/>
  <c r="AJ293" i="2" s="1"/>
  <c r="SU85" i="44"/>
  <c r="ST80" i="44"/>
  <c r="SS49" i="44"/>
  <c r="AG182" i="2"/>
  <c r="AG171" i="2" s="1"/>
  <c r="AI247" i="2"/>
  <c r="AH171" i="2"/>
  <c r="K34" i="56" s="1"/>
  <c r="AH186" i="2"/>
  <c r="AH110" i="2"/>
  <c r="AH125" i="2"/>
  <c r="AI473" i="2"/>
  <c r="AI495" i="2" s="1"/>
  <c r="AI131" i="2"/>
  <c r="SW101" i="44"/>
  <c r="AJ472" i="2"/>
  <c r="AJ494" i="2" s="1"/>
  <c r="AJ125" i="2"/>
  <c r="AG481" i="2"/>
  <c r="AG503" i="2" s="1"/>
  <c r="AG308" i="2"/>
  <c r="SY82" i="44"/>
  <c r="SU67" i="44"/>
  <c r="AG125" i="2"/>
  <c r="AG472" i="2"/>
  <c r="AG494" i="2" s="1"/>
  <c r="SW67" i="44"/>
  <c r="SY64" i="44"/>
  <c r="SY67" i="44" s="1"/>
  <c r="AI125" i="2"/>
  <c r="ST100" i="44"/>
  <c r="AJ182" i="2"/>
  <c r="AJ171" i="2" s="1"/>
  <c r="AJ131" i="2"/>
  <c r="AI253" i="2"/>
  <c r="SU31" i="44"/>
  <c r="SW28" i="44"/>
  <c r="SW100" i="44" s="1"/>
  <c r="AJ478" i="2"/>
  <c r="AJ500" i="2" s="1"/>
  <c r="SW84" i="44"/>
  <c r="SW85" i="44" s="1"/>
  <c r="AG247" i="2"/>
  <c r="AG232" i="2"/>
  <c r="AG473" i="2"/>
  <c r="AG495" i="2" s="1"/>
  <c r="AJ475" i="2"/>
  <c r="AJ497" i="2" s="1"/>
  <c r="SU101" i="44"/>
  <c r="SR100" i="44"/>
  <c r="SR103" i="44" s="1"/>
  <c r="SS103" i="44"/>
  <c r="J34" i="56" l="1"/>
  <c r="M35" i="56"/>
  <c r="AG476" i="2"/>
  <c r="AG498" i="2" s="1"/>
  <c r="K33" i="56"/>
  <c r="AJ476" i="2"/>
  <c r="AJ498" i="2" s="1"/>
  <c r="K36" i="56"/>
  <c r="AG479" i="2"/>
  <c r="AG501" i="2" s="1"/>
  <c r="L33" i="56"/>
  <c r="AJ482" i="2"/>
  <c r="AJ504" i="2" s="1"/>
  <c r="N36" i="56"/>
  <c r="AH482" i="2"/>
  <c r="AH504" i="2" s="1"/>
  <c r="N34" i="56"/>
  <c r="AJ479" i="2"/>
  <c r="AJ501" i="2" s="1"/>
  <c r="L36" i="56"/>
  <c r="AH314" i="2"/>
  <c r="AJ247" i="2"/>
  <c r="AJ253" i="2"/>
  <c r="SU102" i="44"/>
  <c r="ST102" i="44" s="1"/>
  <c r="ST103" i="44" s="1"/>
  <c r="AH232" i="2"/>
  <c r="L34" i="56" s="1"/>
  <c r="AH247" i="2"/>
  <c r="AJ308" i="2"/>
  <c r="AG186" i="2"/>
  <c r="AJ314" i="2"/>
  <c r="SU49" i="44"/>
  <c r="SW49" i="44"/>
  <c r="AG253" i="2"/>
  <c r="AG192" i="2"/>
  <c r="SV100" i="44"/>
  <c r="AJ186" i="2"/>
  <c r="SW31" i="44"/>
  <c r="SY28" i="44"/>
  <c r="SY31" i="44" s="1"/>
  <c r="AH473" i="2"/>
  <c r="AH495" i="2" s="1"/>
  <c r="AH131" i="2"/>
  <c r="AJ192" i="2"/>
  <c r="SW102" i="44"/>
  <c r="SY84" i="44"/>
  <c r="SY102" i="44" s="1"/>
  <c r="AH476" i="2"/>
  <c r="AH498" i="2" s="1"/>
  <c r="AH192" i="2"/>
  <c r="M34" i="56" l="1"/>
  <c r="M36" i="56"/>
  <c r="M33" i="56"/>
  <c r="SU103" i="44"/>
  <c r="SV102" i="44"/>
  <c r="SV103" i="44" s="1"/>
  <c r="SX102" i="44"/>
  <c r="AH479" i="2"/>
  <c r="AH501" i="2" s="1"/>
  <c r="AH253" i="2"/>
  <c r="SW103" i="44"/>
  <c r="SY100" i="44"/>
  <c r="SY85" i="44"/>
  <c r="SX100" i="44" l="1"/>
  <c r="SX103" i="44" s="1"/>
  <c r="SY103" i="44"/>
  <c r="PI33" i="44" l="1"/>
  <c r="PJ30" i="44"/>
  <c r="PK33" i="44"/>
  <c r="PI21" i="44" l="1"/>
  <c r="PJ18" i="44"/>
  <c r="PI27" i="44"/>
  <c r="PJ24" i="44"/>
  <c r="PK27" i="44"/>
  <c r="PL30" i="44"/>
  <c r="PL33" i="44" s="1"/>
  <c r="PJ33" i="44"/>
  <c r="PK21" i="44"/>
  <c r="PK35" i="44" s="1"/>
  <c r="AB314" i="2" s="1"/>
  <c r="PL24" i="44" l="1"/>
  <c r="PL18" i="44"/>
  <c r="PI35" i="44"/>
  <c r="AB253" i="2" s="1"/>
  <c r="BH19" i="44" l="1"/>
  <c r="BH18" i="44"/>
  <c r="BF20" i="44" l="1"/>
  <c r="BF22" i="44" s="1"/>
  <c r="BJ19" i="44" l="1"/>
  <c r="BL19" i="44" l="1"/>
  <c r="BN19" i="44" s="1"/>
  <c r="BP19" i="44" s="1"/>
  <c r="H105" i="2" l="1"/>
  <c r="BI20" i="44"/>
  <c r="BI22" i="44" s="1"/>
  <c r="BJ18" i="44"/>
  <c r="H288" i="2" l="1"/>
  <c r="BO20" i="44"/>
  <c r="BO22" i="44" s="1"/>
  <c r="H166" i="2"/>
  <c r="BK20" i="44"/>
  <c r="BK22" i="44" s="1"/>
  <c r="H227" i="2"/>
  <c r="BM20" i="44"/>
  <c r="BM22" i="44" s="1"/>
  <c r="BL18" i="44"/>
  <c r="BN18" i="44" s="1"/>
  <c r="BP18" i="44" s="1"/>
  <c r="BB105" i="2"/>
  <c r="H106" i="2"/>
  <c r="H108" i="2" s="1"/>
  <c r="D8" i="56" l="1"/>
  <c r="H472" i="2"/>
  <c r="H494" i="2" s="1"/>
  <c r="H125" i="2"/>
  <c r="BB227" i="2"/>
  <c r="H228" i="2"/>
  <c r="H230" i="2" s="1"/>
  <c r="F43" i="1"/>
  <c r="BB166" i="2"/>
  <c r="H167" i="2"/>
  <c r="H169" i="2" s="1"/>
  <c r="E8" i="56" s="1"/>
  <c r="H131" i="2"/>
  <c r="BB288" i="2"/>
  <c r="H289" i="2"/>
  <c r="H291" i="2" s="1"/>
  <c r="H8" i="56" s="1"/>
  <c r="H253" i="2" l="1"/>
  <c r="F8" i="56"/>
  <c r="L43" i="1"/>
  <c r="H481" i="2"/>
  <c r="H503" i="2" s="1"/>
  <c r="H308" i="2"/>
  <c r="H475" i="2"/>
  <c r="H497" i="2" s="1"/>
  <c r="H186" i="2"/>
  <c r="H192" i="2"/>
  <c r="J43" i="1"/>
  <c r="H43" i="1"/>
  <c r="H314" i="2"/>
  <c r="H478" i="2"/>
  <c r="H500" i="2" s="1"/>
  <c r="H247" i="2"/>
  <c r="H43" i="2" l="1"/>
  <c r="BH16" i="44"/>
  <c r="BJ16" i="44" l="1"/>
  <c r="BL16" i="44" l="1"/>
  <c r="BN16" i="44" l="1"/>
  <c r="BP16" i="44" l="1"/>
  <c r="BB44" i="2" l="1"/>
  <c r="H45" i="2"/>
  <c r="H47" i="2" s="1"/>
  <c r="BH17" i="44"/>
  <c r="BG20" i="44"/>
  <c r="BG22" i="44" s="1"/>
  <c r="C8" i="56" l="1"/>
  <c r="G8" i="56" s="1"/>
  <c r="H70" i="2"/>
  <c r="H64" i="2"/>
  <c r="H469" i="2"/>
  <c r="H491" i="2" s="1"/>
  <c r="BJ17" i="44"/>
  <c r="BH20" i="44"/>
  <c r="BH22" i="44" s="1"/>
  <c r="BC44" i="2"/>
  <c r="D43" i="1"/>
  <c r="E43" i="1" l="1"/>
  <c r="D105" i="2"/>
  <c r="BC105" i="2"/>
  <c r="BL17" i="44"/>
  <c r="BJ20" i="44"/>
  <c r="BJ22" i="44" s="1"/>
  <c r="BE105" i="2" l="1"/>
  <c r="D166" i="2"/>
  <c r="BC166" i="2"/>
  <c r="D227" i="2" s="1"/>
  <c r="BC227" i="2" s="1"/>
  <c r="D288" i="2" s="1"/>
  <c r="BC288" i="2" s="1"/>
  <c r="BN17" i="44"/>
  <c r="BL20" i="44"/>
  <c r="BL22" i="44" s="1"/>
  <c r="G43" i="1"/>
  <c r="I43" i="1" s="1"/>
  <c r="K43" i="1" l="1"/>
  <c r="U43" i="17"/>
  <c r="W43" i="17" s="1"/>
  <c r="BP17" i="44"/>
  <c r="BP20" i="44" s="1"/>
  <c r="BP22" i="44" s="1"/>
  <c r="BN20" i="44"/>
  <c r="BN22" i="44" s="1"/>
  <c r="C43" i="17" l="1"/>
  <c r="E43" i="17" s="1"/>
  <c r="M43" i="1"/>
  <c r="F43" i="17" s="1"/>
  <c r="H43" i="17" s="1"/>
  <c r="OM20" i="44" l="1"/>
  <c r="AA118" i="2" s="1"/>
  <c r="OK20" i="44"/>
  <c r="AA57" i="2" s="1"/>
  <c r="OJ30" i="44" l="1"/>
  <c r="OJ32" i="44" s="1"/>
  <c r="OJ34" i="44" s="1"/>
  <c r="OJ35" i="44" s="1"/>
  <c r="OM18" i="44" l="1"/>
  <c r="OK18" i="44"/>
  <c r="AA115" i="2" l="1"/>
  <c r="AA54" i="2"/>
  <c r="AN41" i="2" l="1"/>
  <c r="BB41" i="2" l="1"/>
  <c r="AN43" i="2"/>
  <c r="AN45" i="2" l="1"/>
  <c r="AN47" i="2" s="1"/>
  <c r="AN469" i="2" s="1"/>
  <c r="AN491" i="2" s="1"/>
  <c r="D40" i="1"/>
  <c r="BC41" i="2"/>
  <c r="AN70" i="2" l="1"/>
  <c r="C40" i="56"/>
  <c r="AN64" i="2"/>
  <c r="D102" i="2"/>
  <c r="E40" i="1"/>
  <c r="I5" i="52"/>
  <c r="I4" i="52" s="1"/>
  <c r="AN118" i="2" l="1"/>
  <c r="J5" i="52"/>
  <c r="J4" i="52" s="1"/>
  <c r="AN115" i="2" l="1"/>
  <c r="AN121" i="2" l="1"/>
  <c r="AN110" i="2" l="1"/>
  <c r="AN131" i="2"/>
  <c r="AN125" i="2"/>
  <c r="J40" i="56" l="1"/>
  <c r="AN473" i="2"/>
  <c r="AN495" i="2" s="1"/>
  <c r="AN179" i="2" l="1"/>
  <c r="AN176" i="2" l="1"/>
  <c r="AN182" i="2" l="1"/>
  <c r="BB176" i="2"/>
  <c r="H51" i="1" l="1"/>
  <c r="AN192" i="2"/>
  <c r="AN171" i="2"/>
  <c r="AN186" i="2"/>
  <c r="K40" i="56" l="1"/>
  <c r="AN476" i="2"/>
  <c r="AN498" i="2" s="1"/>
  <c r="AN238" i="2" l="1"/>
  <c r="AN237" i="2" l="1"/>
  <c r="AN240" i="2"/>
  <c r="AN226" i="2"/>
  <c r="AN222" i="2"/>
  <c r="AN228" i="2" l="1"/>
  <c r="AN230" i="2" s="1"/>
  <c r="AN243" i="2"/>
  <c r="AN232" i="2" s="1"/>
  <c r="BB237" i="2"/>
  <c r="J51" i="1" l="1"/>
  <c r="L40" i="56"/>
  <c r="AN479" i="2"/>
  <c r="AN501" i="2" s="1"/>
  <c r="AN253" i="2"/>
  <c r="AN478" i="2"/>
  <c r="AN500" i="2" s="1"/>
  <c r="F40" i="56"/>
  <c r="AN247" i="2"/>
  <c r="G40" i="56" l="1"/>
  <c r="M40" i="56"/>
  <c r="AN301" i="2" l="1"/>
  <c r="AN299" i="2" l="1"/>
  <c r="AN304" i="2" l="1"/>
  <c r="AN293" i="2" l="1"/>
  <c r="AN308" i="2"/>
  <c r="AN314" i="2"/>
  <c r="N40" i="56" l="1"/>
  <c r="AN482" i="2"/>
  <c r="AN504" i="2" s="1"/>
  <c r="F28" i="48" l="1"/>
  <c r="D4" i="48" l="1"/>
  <c r="E4" i="48"/>
  <c r="F27" i="48"/>
  <c r="E62" i="48"/>
  <c r="D62" i="48"/>
  <c r="D25" i="48" l="1"/>
  <c r="D30" i="48" s="1"/>
  <c r="E25" i="48"/>
  <c r="E30" i="48" s="1"/>
  <c r="M103" i="48" l="1"/>
  <c r="L103" i="48" l="1"/>
  <c r="D36" i="48"/>
  <c r="E35" i="48"/>
  <c r="E36" i="48"/>
  <c r="E69" i="48"/>
  <c r="D35" i="48"/>
  <c r="E41" i="48" l="1"/>
  <c r="D41" i="48"/>
  <c r="E33" i="48"/>
  <c r="E32" i="48"/>
  <c r="N144" i="53"/>
  <c r="D32" i="48"/>
  <c r="D33" i="48"/>
  <c r="E34" i="48"/>
  <c r="D34" i="48"/>
  <c r="L45" i="48" l="1"/>
  <c r="I42" i="48"/>
  <c r="I45" i="48"/>
  <c r="M42" i="48"/>
  <c r="M45" i="48"/>
  <c r="D69" i="48"/>
  <c r="E37" i="48"/>
  <c r="E45" i="48" s="1"/>
  <c r="D37" i="48"/>
  <c r="D45" i="48" s="1"/>
  <c r="L42" i="48"/>
  <c r="N153" i="53"/>
  <c r="D40" i="48"/>
  <c r="J144" i="53"/>
  <c r="J153" i="53"/>
  <c r="E40" i="48"/>
  <c r="H45" i="48"/>
  <c r="H42" i="48"/>
  <c r="E42" i="48" l="1"/>
  <c r="E43" i="48" s="1"/>
  <c r="D42" i="48"/>
  <c r="D43" i="48" s="1"/>
  <c r="E46" i="48"/>
  <c r="D46" i="48"/>
  <c r="C73" i="14" l="1"/>
  <c r="PB42" i="44" l="1"/>
  <c r="PC42" i="44" s="1"/>
  <c r="AB37" i="2" s="1"/>
  <c r="E102" i="55" l="1"/>
  <c r="F102" i="55" l="1"/>
  <c r="F107" i="55" s="1"/>
  <c r="B72" i="14"/>
  <c r="B73" i="14" s="1"/>
  <c r="B55" i="14" s="1"/>
  <c r="E107" i="55"/>
  <c r="L95" i="48" l="1"/>
  <c r="B56" i="14"/>
  <c r="C55" i="14"/>
  <c r="M95" i="48"/>
  <c r="D55" i="14" l="1"/>
  <c r="C56" i="14"/>
  <c r="E55" i="14" l="1"/>
  <c r="D56" i="14"/>
  <c r="E56" i="14" l="1"/>
  <c r="F55" i="14"/>
  <c r="F56" i="14" s="1"/>
  <c r="PB27" i="44" l="1"/>
  <c r="PB21" i="44"/>
  <c r="PC21" i="44"/>
  <c r="PC27" i="44"/>
  <c r="AB55" i="2" s="1"/>
  <c r="PB35" i="44" l="1"/>
  <c r="PC35" i="44"/>
  <c r="AB54" i="2"/>
  <c r="PD19" i="44"/>
  <c r="PD25" i="44"/>
  <c r="PE27" i="44"/>
  <c r="AB116" i="2" s="1"/>
  <c r="PE21" i="44"/>
  <c r="AB60" i="2" l="1"/>
  <c r="BB54" i="2"/>
  <c r="PF25" i="44"/>
  <c r="PD27" i="44"/>
  <c r="PD21" i="44"/>
  <c r="PF19" i="44"/>
  <c r="PE35" i="44"/>
  <c r="AB115" i="2"/>
  <c r="PD35" i="44" l="1"/>
  <c r="PH25" i="44"/>
  <c r="PF27" i="44"/>
  <c r="D51" i="1"/>
  <c r="BC54" i="2"/>
  <c r="PF21" i="44"/>
  <c r="PH19" i="44"/>
  <c r="AB121" i="2"/>
  <c r="BB115" i="2"/>
  <c r="AB49" i="2"/>
  <c r="PF35" i="44" l="1"/>
  <c r="I28" i="56"/>
  <c r="AB470" i="2"/>
  <c r="AB492" i="2" s="1"/>
  <c r="F51" i="1"/>
  <c r="BC115" i="2"/>
  <c r="E51" i="1"/>
  <c r="PH21" i="44"/>
  <c r="PJ19" i="44"/>
  <c r="AB110" i="2"/>
  <c r="AB125" i="2"/>
  <c r="PJ25" i="44"/>
  <c r="PH27" i="44"/>
  <c r="D115" i="2"/>
  <c r="PH35" i="44" l="1"/>
  <c r="J28" i="56"/>
  <c r="M28" i="56" s="1"/>
  <c r="AB473" i="2"/>
  <c r="AB495" i="2" s="1"/>
  <c r="AB131" i="2"/>
  <c r="G51" i="1"/>
  <c r="D176" i="2"/>
  <c r="BC176" i="2"/>
  <c r="PL19" i="44"/>
  <c r="PL21" i="44" s="1"/>
  <c r="PJ21" i="44"/>
  <c r="PL25" i="44"/>
  <c r="PL27" i="44" s="1"/>
  <c r="PJ27" i="44"/>
  <c r="D237" i="2" l="1"/>
  <c r="PJ35" i="44"/>
  <c r="PL35" i="44"/>
  <c r="I51" i="1"/>
  <c r="BC237" i="2" l="1"/>
  <c r="U51" i="17"/>
  <c r="K51" i="1"/>
  <c r="C51" i="17" l="1"/>
  <c r="W51" i="17"/>
  <c r="D298" i="2"/>
  <c r="E51" i="17" l="1"/>
  <c r="OJ21" i="44" l="1"/>
  <c r="OJ24" i="44" s="1"/>
  <c r="OK19" i="44" l="1"/>
  <c r="OM19" i="44"/>
  <c r="OL21" i="44"/>
  <c r="OL24" i="44" s="1"/>
  <c r="AA116" i="2" l="1"/>
  <c r="AA121" i="2" s="1"/>
  <c r="OM21" i="44"/>
  <c r="OM24" i="44" s="1"/>
  <c r="AA55" i="2"/>
  <c r="AA60" i="2" s="1"/>
  <c r="OK21" i="44"/>
  <c r="OK24" i="44" s="1"/>
  <c r="AA49" i="2" l="1"/>
  <c r="AA110" i="2"/>
  <c r="I27" i="56" l="1"/>
  <c r="AA470" i="2"/>
  <c r="AA492" i="2" s="1"/>
  <c r="AA473" i="2"/>
  <c r="AA495" i="2" s="1"/>
  <c r="J27" i="56"/>
  <c r="M27" i="56" l="1"/>
  <c r="MJ23" i="44" l="1"/>
  <c r="ML23" i="44" s="1"/>
  <c r="MN23" i="44" s="1"/>
  <c r="MP23" i="44" s="1"/>
  <c r="MR23" i="44" s="1"/>
  <c r="MJ18" i="44" l="1"/>
  <c r="ML18" i="44" s="1"/>
  <c r="MN18" i="44" s="1"/>
  <c r="MP18" i="44" s="1"/>
  <c r="MR18" i="44" s="1"/>
  <c r="MJ21" i="44" l="1"/>
  <c r="ML21" i="44" s="1"/>
  <c r="MN21" i="44" s="1"/>
  <c r="MP21" i="44" s="1"/>
  <c r="MR21" i="44" s="1"/>
  <c r="MJ16" i="44" l="1"/>
  <c r="ML16" i="44" l="1"/>
  <c r="MN16" i="44" l="1"/>
  <c r="MP16" i="44" l="1"/>
  <c r="MR16" i="44" l="1"/>
  <c r="MJ22" i="44" l="1"/>
  <c r="ML22" i="44" s="1"/>
  <c r="MN22" i="44" s="1"/>
  <c r="MP22" i="44" s="1"/>
  <c r="MR22" i="44" s="1"/>
  <c r="MJ24" i="44"/>
  <c r="ML24" i="44" s="1"/>
  <c r="MN24" i="44" s="1"/>
  <c r="MP24" i="44" s="1"/>
  <c r="MR24" i="44" s="1"/>
  <c r="MH20" i="44" l="1"/>
  <c r="MH25" i="44" s="1"/>
  <c r="MH27" i="44" s="1"/>
  <c r="MH34" i="44" s="1"/>
  <c r="X38" i="2"/>
  <c r="X39" i="2"/>
  <c r="BB39" i="2" s="1"/>
  <c r="MJ17" i="44" l="1"/>
  <c r="ML17" i="44" s="1"/>
  <c r="MH29" i="44"/>
  <c r="MH35" i="44" s="1"/>
  <c r="MH36" i="44" s="1"/>
  <c r="BC39" i="2"/>
  <c r="D100" i="2" s="1"/>
  <c r="D38" i="1"/>
  <c r="E38" i="1" s="1"/>
  <c r="MI20" i="44"/>
  <c r="MI25" i="44" s="1"/>
  <c r="MI27" i="44" s="1"/>
  <c r="MJ19" i="44"/>
  <c r="ML19" i="44" s="1"/>
  <c r="MN19" i="44" s="1"/>
  <c r="MP19" i="44" s="1"/>
  <c r="MR19" i="44" s="1"/>
  <c r="MH31" i="44" l="1"/>
  <c r="MI34" i="44"/>
  <c r="MI29" i="44"/>
  <c r="MJ20" i="44"/>
  <c r="MJ25" i="44" s="1"/>
  <c r="MJ27" i="44" s="1"/>
  <c r="MN17" i="44"/>
  <c r="ML20" i="44"/>
  <c r="ML25" i="44" s="1"/>
  <c r="ML27" i="44" s="1"/>
  <c r="MJ29" i="44" l="1"/>
  <c r="MJ31" i="44" s="1"/>
  <c r="MJ34" i="44"/>
  <c r="MI31" i="44"/>
  <c r="X43" i="2"/>
  <c r="X45" i="2" s="1"/>
  <c r="X47" i="2" s="1"/>
  <c r="MI35" i="44"/>
  <c r="MI36" i="44" s="1"/>
  <c r="X55" i="2"/>
  <c r="ML34" i="44"/>
  <c r="ML29" i="44"/>
  <c r="ML31" i="44" s="1"/>
  <c r="MP17" i="44"/>
  <c r="MN20" i="44"/>
  <c r="MN25" i="44" s="1"/>
  <c r="MN27" i="44" s="1"/>
  <c r="MN34" i="44" l="1"/>
  <c r="MN29" i="44"/>
  <c r="MN31" i="44" s="1"/>
  <c r="BB55" i="2"/>
  <c r="MR17" i="44"/>
  <c r="MR20" i="44" s="1"/>
  <c r="MR25" i="44" s="1"/>
  <c r="MR27" i="44" s="1"/>
  <c r="MP20" i="44"/>
  <c r="MP25" i="44" s="1"/>
  <c r="MP27" i="44" s="1"/>
  <c r="X57" i="2"/>
  <c r="BB57" i="2" s="1"/>
  <c r="MJ35" i="44"/>
  <c r="ML35" i="44" s="1"/>
  <c r="MN35" i="44" s="1"/>
  <c r="MP35" i="44" s="1"/>
  <c r="MR35" i="44" s="1"/>
  <c r="X469" i="2"/>
  <c r="X491" i="2" s="1"/>
  <c r="C24" i="56"/>
  <c r="G24" i="56" s="1"/>
  <c r="D54" i="1" l="1"/>
  <c r="E54" i="1" s="1"/>
  <c r="BC57" i="2"/>
  <c r="MR29" i="44"/>
  <c r="MR31" i="44" s="1"/>
  <c r="MR34" i="44"/>
  <c r="MR36" i="44" s="1"/>
  <c r="MJ36" i="44"/>
  <c r="ML36" i="44"/>
  <c r="BC55" i="2"/>
  <c r="D52" i="1"/>
  <c r="BB60" i="2"/>
  <c r="BB49" i="2" s="1"/>
  <c r="MP29" i="44"/>
  <c r="MP31" i="44" s="1"/>
  <c r="MP34" i="44"/>
  <c r="MP36" i="44" s="1"/>
  <c r="X60" i="2"/>
  <c r="MN36" i="44"/>
  <c r="BB470" i="2" l="1"/>
  <c r="BB492" i="2" s="1"/>
  <c r="E52" i="1"/>
  <c r="E58" i="1" s="1"/>
  <c r="D58" i="1"/>
  <c r="D116" i="2"/>
  <c r="BC60" i="2"/>
  <c r="BC49" i="2" s="1"/>
  <c r="D118" i="2"/>
  <c r="X49" i="2"/>
  <c r="X64" i="2"/>
  <c r="BC470" i="2" l="1"/>
  <c r="BC492" i="2" s="1"/>
  <c r="D121" i="2"/>
  <c r="D110" i="2" s="1"/>
  <c r="D473" i="2" s="1"/>
  <c r="D495" i="2" s="1"/>
  <c r="E85" i="1"/>
  <c r="BY16" i="44"/>
  <c r="B8" i="14"/>
  <c r="B10" i="14" s="1"/>
  <c r="BC72" i="2"/>
  <c r="I24" i="56"/>
  <c r="X470" i="2"/>
  <c r="X492" i="2" s="1"/>
  <c r="X70" i="2"/>
  <c r="B27" i="14" l="1"/>
  <c r="B12" i="14"/>
  <c r="BZ16" i="44"/>
  <c r="BY21" i="44"/>
  <c r="D133" i="2"/>
  <c r="M24" i="56"/>
  <c r="I45" i="56"/>
  <c r="J4" i="56" l="1"/>
  <c r="I49" i="56"/>
  <c r="BY23" i="44"/>
  <c r="BZ21" i="44"/>
  <c r="BY24" i="44" l="1"/>
  <c r="I43" i="2"/>
  <c r="BZ23" i="44"/>
  <c r="B14" i="14" l="1"/>
  <c r="B16" i="14" s="1"/>
  <c r="I45" i="2"/>
  <c r="I47" i="2" s="1"/>
  <c r="BZ24" i="44"/>
  <c r="I64" i="2" l="1"/>
  <c r="I469" i="2"/>
  <c r="I491" i="2" s="1"/>
  <c r="C9" i="56"/>
  <c r="I70" i="2"/>
  <c r="AA25" i="52" l="1"/>
  <c r="CG44" i="45"/>
  <c r="P25" i="52"/>
  <c r="CC44" i="45"/>
  <c r="K25" i="52"/>
  <c r="CA44" i="45"/>
  <c r="CB43" i="45"/>
  <c r="CA46" i="45" l="1"/>
  <c r="AQ104" i="2" s="1"/>
  <c r="AQ102" i="2"/>
  <c r="N25" i="52"/>
  <c r="K51" i="52"/>
  <c r="K6" i="52" s="1"/>
  <c r="CD43" i="45"/>
  <c r="CB44" i="45"/>
  <c r="CB46" i="45" s="1"/>
  <c r="CB47" i="45" s="1"/>
  <c r="CG46" i="45"/>
  <c r="AQ287" i="2" s="1"/>
  <c r="AQ285" i="2"/>
  <c r="U25" i="52"/>
  <c r="CE44" i="45"/>
  <c r="AQ163" i="2"/>
  <c r="CC46" i="45"/>
  <c r="AQ165" i="2" s="1"/>
  <c r="S25" i="52"/>
  <c r="S51" i="52" s="1"/>
  <c r="S6" i="52" s="1"/>
  <c r="P51" i="52"/>
  <c r="P6" i="52" s="1"/>
  <c r="AD25" i="52"/>
  <c r="AD51" i="52" s="1"/>
  <c r="AD6" i="52" s="1"/>
  <c r="AD2" i="52" s="1"/>
  <c r="AA51" i="52"/>
  <c r="AA6" i="52" s="1"/>
  <c r="CA47" i="45" l="1"/>
  <c r="CG47" i="45"/>
  <c r="CC47" i="45"/>
  <c r="P1" i="52"/>
  <c r="P2" i="52"/>
  <c r="P5" i="52"/>
  <c r="P4" i="52" s="1"/>
  <c r="AQ167" i="2"/>
  <c r="AQ169" i="2" s="1"/>
  <c r="BB163" i="2"/>
  <c r="CE46" i="45"/>
  <c r="AQ226" i="2" s="1"/>
  <c r="AQ224" i="2"/>
  <c r="Y25" i="52"/>
  <c r="Y51" i="52" s="1"/>
  <c r="Y6" i="52" s="1"/>
  <c r="U51" i="52"/>
  <c r="U6" i="52" s="1"/>
  <c r="AA5" i="52"/>
  <c r="AA4" i="52" s="1"/>
  <c r="AQ289" i="2"/>
  <c r="AQ291" i="2" s="1"/>
  <c r="BB285" i="2"/>
  <c r="CF43" i="45"/>
  <c r="CD44" i="45"/>
  <c r="CD46" i="45" s="1"/>
  <c r="CD47" i="45" s="1"/>
  <c r="K2" i="52"/>
  <c r="K1" i="52"/>
  <c r="O25" i="52"/>
  <c r="N51" i="52"/>
  <c r="N6" i="52" s="1"/>
  <c r="AA2" i="52"/>
  <c r="AA1" i="52"/>
  <c r="AQ106" i="2"/>
  <c r="AQ108" i="2" s="1"/>
  <c r="BB102" i="2"/>
  <c r="K5" i="52"/>
  <c r="K4" i="52" s="1"/>
  <c r="S1" i="52"/>
  <c r="S2" i="52"/>
  <c r="CE47" i="45" l="1"/>
  <c r="T25" i="52"/>
  <c r="O51" i="52"/>
  <c r="O6" i="52" s="1"/>
  <c r="CH43" i="45"/>
  <c r="CH44" i="45" s="1"/>
  <c r="CH46" i="45" s="1"/>
  <c r="CH47" i="45" s="1"/>
  <c r="CF44" i="45"/>
  <c r="CF46" i="45" s="1"/>
  <c r="CF47" i="45" s="1"/>
  <c r="L40" i="1"/>
  <c r="AQ481" i="2"/>
  <c r="AQ503" i="2" s="1"/>
  <c r="H43" i="56"/>
  <c r="U2" i="52"/>
  <c r="U1" i="52"/>
  <c r="Y1" i="52"/>
  <c r="Y2" i="52"/>
  <c r="AQ228" i="2"/>
  <c r="AQ230" i="2" s="1"/>
  <c r="U5" i="52"/>
  <c r="U4" i="52" s="1"/>
  <c r="BB224" i="2"/>
  <c r="F40" i="1"/>
  <c r="BC102" i="2"/>
  <c r="BC163" i="2" s="1"/>
  <c r="AQ472" i="2"/>
  <c r="AQ494" i="2" s="1"/>
  <c r="D43" i="56"/>
  <c r="H40" i="1"/>
  <c r="E43" i="56"/>
  <c r="AQ475" i="2"/>
  <c r="AQ497" i="2" s="1"/>
  <c r="N2" i="52"/>
  <c r="N1" i="52"/>
  <c r="F43" i="56" l="1"/>
  <c r="G43" i="56" s="1"/>
  <c r="AQ478" i="2"/>
  <c r="AQ500" i="2" s="1"/>
  <c r="D224" i="2"/>
  <c r="BC224" i="2" s="1"/>
  <c r="T5" i="52"/>
  <c r="S5" i="52"/>
  <c r="S4" i="52" s="1"/>
  <c r="AD5" i="52"/>
  <c r="AD4" i="52" s="1"/>
  <c r="BE102" i="2"/>
  <c r="D163" i="2"/>
  <c r="N5" i="52"/>
  <c r="N4" i="52" s="1"/>
  <c r="G40" i="1"/>
  <c r="O1" i="52"/>
  <c r="O2" i="52"/>
  <c r="J40" i="1"/>
  <c r="Z25" i="52"/>
  <c r="T51" i="52"/>
  <c r="T6" i="52" s="1"/>
  <c r="I40" i="1" l="1"/>
  <c r="O5" i="52"/>
  <c r="O4" i="52" s="1"/>
  <c r="T1" i="52"/>
  <c r="T2" i="52"/>
  <c r="AE25" i="52"/>
  <c r="AE51" i="52" s="1"/>
  <c r="AE6" i="52" s="1"/>
  <c r="AE2" i="52" s="1"/>
  <c r="Z51" i="52"/>
  <c r="Z6" i="52" s="1"/>
  <c r="T4" i="52"/>
  <c r="D285" i="2"/>
  <c r="BC285" i="2" s="1"/>
  <c r="Y5" i="52"/>
  <c r="Y4" i="52" s="1"/>
  <c r="Z1" i="52" l="1"/>
  <c r="Z2" i="52"/>
  <c r="K40" i="1"/>
  <c r="U40" i="17"/>
  <c r="W40" i="17" l="1"/>
  <c r="M40" i="1"/>
  <c r="Z5" i="52"/>
  <c r="Z4" i="52" s="1"/>
  <c r="C40" i="17"/>
  <c r="F40" i="17" l="1"/>
  <c r="AE5" i="52"/>
  <c r="AE4" i="52" s="1"/>
  <c r="A4" i="52" s="1"/>
  <c r="E40" i="17"/>
  <c r="H40" i="17" l="1"/>
  <c r="CB21" i="45" l="1"/>
  <c r="CA22" i="45"/>
  <c r="CB22" i="45" l="1"/>
  <c r="CC22" i="45" l="1"/>
  <c r="CD21" i="45"/>
  <c r="CD22" i="45" l="1"/>
  <c r="CE22" i="45" l="1"/>
  <c r="CF21" i="45"/>
  <c r="CF22" i="45" l="1"/>
  <c r="CG22" i="45" l="1"/>
  <c r="CH21" i="45"/>
  <c r="CH22" i="45" s="1"/>
  <c r="AQ239" i="2" l="1"/>
  <c r="BB239" i="2" l="1"/>
  <c r="AQ240" i="2" l="1"/>
  <c r="CE27" i="45"/>
  <c r="J53" i="1"/>
  <c r="CE28" i="45" l="1"/>
  <c r="AQ243" i="2"/>
  <c r="AQ232" i="2" l="1"/>
  <c r="AQ247" i="2"/>
  <c r="L43" i="56" l="1"/>
  <c r="AQ479" i="2"/>
  <c r="AQ501" i="2" s="1"/>
  <c r="AQ253" i="2"/>
  <c r="AQ301" i="2" l="1"/>
  <c r="AQ300" i="2" l="1"/>
  <c r="CG27" i="45"/>
  <c r="CG28" i="45" l="1"/>
  <c r="AQ304" i="2"/>
  <c r="BB300" i="2"/>
  <c r="L53" i="1" l="1"/>
  <c r="AQ293" i="2"/>
  <c r="AQ308" i="2"/>
  <c r="N43" i="56" l="1"/>
  <c r="AQ482" i="2"/>
  <c r="AQ504" i="2" s="1"/>
  <c r="AQ314" i="2"/>
  <c r="AQ179" i="2" l="1"/>
  <c r="AQ118" i="2" l="1"/>
  <c r="CB26" i="45"/>
  <c r="CD26" i="45" s="1"/>
  <c r="CF26" i="45" s="1"/>
  <c r="CH26" i="45" s="1"/>
  <c r="AQ178" i="2"/>
  <c r="CC27" i="45"/>
  <c r="CB25" i="45"/>
  <c r="CA27" i="45"/>
  <c r="AQ117" i="2"/>
  <c r="CA28" i="45" l="1"/>
  <c r="AQ182" i="2"/>
  <c r="BB178" i="2"/>
  <c r="CD25" i="45"/>
  <c r="CB27" i="45"/>
  <c r="CB28" i="45" s="1"/>
  <c r="CC28" i="45"/>
  <c r="AQ121" i="2"/>
  <c r="BB117" i="2"/>
  <c r="CD27" i="45" l="1"/>
  <c r="CD28" i="45" s="1"/>
  <c r="CF25" i="45"/>
  <c r="F53" i="1"/>
  <c r="BC117" i="2"/>
  <c r="BC178" i="2" s="1"/>
  <c r="AQ171" i="2"/>
  <c r="AQ186" i="2"/>
  <c r="AQ110" i="2"/>
  <c r="AQ125" i="2"/>
  <c r="H53" i="1"/>
  <c r="AQ473" i="2" l="1"/>
  <c r="AQ495" i="2" s="1"/>
  <c r="J43" i="56"/>
  <c r="AQ131" i="2"/>
  <c r="D239" i="2"/>
  <c r="K43" i="56"/>
  <c r="AQ476" i="2"/>
  <c r="AQ498" i="2" s="1"/>
  <c r="AQ192" i="2"/>
  <c r="CF27" i="45"/>
  <c r="CF28" i="45" s="1"/>
  <c r="CH25" i="45"/>
  <c r="CH27" i="45" s="1"/>
  <c r="CH28" i="45" s="1"/>
  <c r="D178" i="2"/>
  <c r="G53" i="1"/>
  <c r="I53" i="1" l="1"/>
  <c r="BC239" i="2"/>
  <c r="M43" i="56"/>
  <c r="D300" i="2" l="1"/>
  <c r="U53" i="17"/>
  <c r="K53" i="1"/>
  <c r="W53" i="17" l="1"/>
  <c r="BC300" i="2"/>
  <c r="M53" i="1"/>
  <c r="C53" i="17"/>
  <c r="F53" i="17" l="1"/>
  <c r="E53" i="17"/>
  <c r="H53" i="17" l="1"/>
  <c r="AE240" i="2" l="1"/>
  <c r="BB240" i="2" s="1"/>
  <c r="J54" i="1" s="1"/>
  <c r="RI35" i="44" l="1"/>
  <c r="AE301" i="2"/>
  <c r="AE118" i="2" l="1"/>
  <c r="BB118" i="2" s="1"/>
  <c r="BC118" i="2" s="1"/>
  <c r="D179" i="2" s="1"/>
  <c r="AE179" i="2"/>
  <c r="BB179" i="2" s="1"/>
  <c r="RK35" i="44"/>
  <c r="RM35" i="44" s="1"/>
  <c r="RO35" i="44" s="1"/>
  <c r="F54" i="1"/>
  <c r="G54" i="1" s="1"/>
  <c r="H54" i="1" l="1"/>
  <c r="I54" i="1" s="1"/>
  <c r="BC179" i="2"/>
  <c r="D240" i="2" s="1"/>
  <c r="BC240" i="2" s="1"/>
  <c r="D301" i="2" s="1"/>
  <c r="U54" i="17" l="1"/>
  <c r="W54" i="17" s="1"/>
  <c r="K54" i="1"/>
  <c r="C54" i="17" l="1"/>
  <c r="E54" i="17" s="1"/>
  <c r="RN19" i="44" l="1"/>
  <c r="AE283" i="2" s="1"/>
  <c r="RJ19" i="44"/>
  <c r="AE161" i="2" s="1"/>
  <c r="BB161" i="2" s="1"/>
  <c r="RJ17" i="44"/>
  <c r="RK21" i="44"/>
  <c r="RK25" i="44" s="1"/>
  <c r="RK27" i="44" s="1"/>
  <c r="RK29" i="44" s="1"/>
  <c r="RK31" i="44" s="1"/>
  <c r="RM21" i="44"/>
  <c r="RM25" i="44" s="1"/>
  <c r="RM27" i="44" s="1"/>
  <c r="RM29" i="44" s="1"/>
  <c r="RM31" i="44" s="1"/>
  <c r="RL17" i="44"/>
  <c r="RL19" i="44"/>
  <c r="AE222" i="2" s="1"/>
  <c r="BB222" i="2" s="1"/>
  <c r="J38" i="1" s="1"/>
  <c r="RN17" i="44"/>
  <c r="RO21" i="44"/>
  <c r="RO25" i="44" s="1"/>
  <c r="RO27" i="44" s="1"/>
  <c r="RO29" i="44" s="1"/>
  <c r="RO31" i="44" s="1"/>
  <c r="RI21" i="44"/>
  <c r="RI25" i="44" s="1"/>
  <c r="RI27" i="44" s="1"/>
  <c r="RI29" i="44" s="1"/>
  <c r="RI31" i="44" s="1"/>
  <c r="RN36" i="44" l="1"/>
  <c r="AE299" i="2"/>
  <c r="AE282" i="2"/>
  <c r="RN21" i="44"/>
  <c r="RN25" i="44" s="1"/>
  <c r="RN27" i="44" s="1"/>
  <c r="RL21" i="44"/>
  <c r="RL25" i="44" s="1"/>
  <c r="RL27" i="44" s="1"/>
  <c r="AE221" i="2"/>
  <c r="BB221" i="2" s="1"/>
  <c r="RJ36" i="44"/>
  <c r="AE177" i="2"/>
  <c r="RJ21" i="44"/>
  <c r="RJ25" i="44" s="1"/>
  <c r="RJ27" i="44" s="1"/>
  <c r="AE160" i="2"/>
  <c r="BB160" i="2" s="1"/>
  <c r="RL36" i="44"/>
  <c r="AE238" i="2"/>
  <c r="H38" i="1"/>
  <c r="RN29" i="44" l="1"/>
  <c r="AE287" i="2" s="1"/>
  <c r="AE289" i="2" s="1"/>
  <c r="AE291" i="2" s="1"/>
  <c r="J37" i="1"/>
  <c r="RL29" i="44"/>
  <c r="AE226" i="2" s="1"/>
  <c r="AE228" i="2" s="1"/>
  <c r="AE230" i="2" s="1"/>
  <c r="AE304" i="2"/>
  <c r="AE293" i="2" s="1"/>
  <c r="H37" i="1"/>
  <c r="AE243" i="2"/>
  <c r="AE232" i="2" s="1"/>
  <c r="BB238" i="2"/>
  <c r="RJ29" i="44"/>
  <c r="AE165" i="2" s="1"/>
  <c r="AE167" i="2" s="1"/>
  <c r="AE169" i="2" s="1"/>
  <c r="BB177" i="2"/>
  <c r="AE182" i="2"/>
  <c r="AE171" i="2" s="1"/>
  <c r="RL31" i="44" l="1"/>
  <c r="AE253" i="2" s="1"/>
  <c r="RJ31" i="44"/>
  <c r="AE192" i="2" s="1"/>
  <c r="RN31" i="44"/>
  <c r="AE314" i="2" s="1"/>
  <c r="AE186" i="2"/>
  <c r="AE475" i="2"/>
  <c r="AE497" i="2" s="1"/>
  <c r="E31" i="56"/>
  <c r="J52" i="1"/>
  <c r="J58" i="1" s="1"/>
  <c r="CE16" i="44" s="1"/>
  <c r="BB243" i="2"/>
  <c r="BB232" i="2" s="1"/>
  <c r="BB479" i="2" s="1"/>
  <c r="BB501" i="2" s="1"/>
  <c r="H52" i="1"/>
  <c r="H58" i="1" s="1"/>
  <c r="CC16" i="44" s="1"/>
  <c r="BB182" i="2"/>
  <c r="BB171" i="2" s="1"/>
  <c r="BB476" i="2" s="1"/>
  <c r="BB498" i="2" s="1"/>
  <c r="AE476" i="2"/>
  <c r="AE498" i="2" s="1"/>
  <c r="K31" i="56"/>
  <c r="AE478" i="2"/>
  <c r="AE500" i="2" s="1"/>
  <c r="AE247" i="2"/>
  <c r="F31" i="56"/>
  <c r="L31" i="56"/>
  <c r="AE479" i="2"/>
  <c r="AE501" i="2" s="1"/>
  <c r="AE482" i="2"/>
  <c r="AE504" i="2" s="1"/>
  <c r="N31" i="56"/>
  <c r="H31" i="56"/>
  <c r="AE481" i="2"/>
  <c r="AE503" i="2" s="1"/>
  <c r="AE308" i="2"/>
  <c r="RH19" i="44" l="1"/>
  <c r="AE100" i="2" s="1"/>
  <c r="BB100" i="2" s="1"/>
  <c r="F38" i="1" l="1"/>
  <c r="G38" i="1" s="1"/>
  <c r="I38" i="1" s="1"/>
  <c r="BC100" i="2"/>
  <c r="RG36" i="44"/>
  <c r="U38" i="17" l="1"/>
  <c r="W38" i="17" s="1"/>
  <c r="K38" i="1"/>
  <c r="D161" i="2"/>
  <c r="BE100" i="2"/>
  <c r="BC161" i="2"/>
  <c r="D222" i="2" s="1"/>
  <c r="BC222" i="2" s="1"/>
  <c r="D283" i="2" s="1"/>
  <c r="C38" i="17" l="1"/>
  <c r="E38" i="17" s="1"/>
  <c r="RI34" i="44"/>
  <c r="AE116" i="2"/>
  <c r="RH36" i="44"/>
  <c r="BB116" i="2" l="1"/>
  <c r="AE121" i="2"/>
  <c r="RK34" i="44"/>
  <c r="RI36" i="44"/>
  <c r="AE110" i="2" l="1"/>
  <c r="BC116" i="2"/>
  <c r="F52" i="1"/>
  <c r="BB121" i="2"/>
  <c r="BB110" i="2" s="1"/>
  <c r="RK36" i="44"/>
  <c r="RM34" i="44"/>
  <c r="BB473" i="2" l="1"/>
  <c r="BB495" i="2" s="1"/>
  <c r="RM36" i="44"/>
  <c r="RO34" i="44"/>
  <c r="RO36" i="44" s="1"/>
  <c r="D177" i="2"/>
  <c r="D182" i="2" s="1"/>
  <c r="D171" i="2" s="1"/>
  <c r="D476" i="2" s="1"/>
  <c r="D498" i="2" s="1"/>
  <c r="BC121" i="2"/>
  <c r="BC177" i="2"/>
  <c r="G52" i="1"/>
  <c r="F58" i="1"/>
  <c r="AE473" i="2"/>
  <c r="AE495" i="2" s="1"/>
  <c r="J31" i="56"/>
  <c r="CA16" i="44" l="1"/>
  <c r="CA21" i="44" s="1"/>
  <c r="BC110" i="2"/>
  <c r="M31" i="56"/>
  <c r="J45" i="56"/>
  <c r="K4" i="56" s="1"/>
  <c r="K45" i="56" s="1"/>
  <c r="L4" i="56" s="1"/>
  <c r="L45" i="56" s="1"/>
  <c r="D238" i="2"/>
  <c r="BC182" i="2"/>
  <c r="I52" i="1"/>
  <c r="G58" i="1"/>
  <c r="G85" i="1" s="1"/>
  <c r="M45" i="56" l="1"/>
  <c r="CB16" i="44"/>
  <c r="CD16" i="44" s="1"/>
  <c r="U52" i="17"/>
  <c r="K52" i="1"/>
  <c r="I58" i="1"/>
  <c r="CA23" i="44"/>
  <c r="BC473" i="2"/>
  <c r="BC495" i="2" s="1"/>
  <c r="J49" i="56"/>
  <c r="BC171" i="2"/>
  <c r="BC133" i="2"/>
  <c r="C8" i="14"/>
  <c r="C10" i="14" s="1"/>
  <c r="D194" i="2"/>
  <c r="D243" i="2"/>
  <c r="D232" i="2" s="1"/>
  <c r="D479" i="2" s="1"/>
  <c r="D501" i="2" s="1"/>
  <c r="BC238" i="2"/>
  <c r="N4" i="56" l="1"/>
  <c r="CB21" i="44"/>
  <c r="C12" i="14"/>
  <c r="C27" i="14"/>
  <c r="CF16" i="44"/>
  <c r="CD21" i="44"/>
  <c r="BC194" i="2"/>
  <c r="D8" i="14"/>
  <c r="D10" i="14" s="1"/>
  <c r="D255" i="2"/>
  <c r="BC476" i="2"/>
  <c r="BC498" i="2" s="1"/>
  <c r="K49" i="56"/>
  <c r="I104" i="2"/>
  <c r="CA24" i="44"/>
  <c r="CB23" i="44"/>
  <c r="D299" i="2"/>
  <c r="BC243" i="2"/>
  <c r="C52" i="17"/>
  <c r="K58" i="1"/>
  <c r="I85" i="1"/>
  <c r="W52" i="17"/>
  <c r="W58" i="17" s="1"/>
  <c r="U58" i="17"/>
  <c r="U59" i="17" s="1"/>
  <c r="C12" i="6" l="1"/>
  <c r="BC255" i="2"/>
  <c r="E8" i="14"/>
  <c r="E10" i="14" s="1"/>
  <c r="CB24" i="44"/>
  <c r="D27" i="14"/>
  <c r="D12" i="14"/>
  <c r="CF21" i="44"/>
  <c r="K85" i="1"/>
  <c r="BC232" i="2"/>
  <c r="I106" i="2"/>
  <c r="I108" i="2" s="1"/>
  <c r="C14" i="14"/>
  <c r="C16" i="14" s="1"/>
  <c r="CC21" i="44"/>
  <c r="E52" i="17"/>
  <c r="E58" i="17" s="1"/>
  <c r="E1" i="17" s="1"/>
  <c r="E3" i="17" s="1"/>
  <c r="C58" i="17"/>
  <c r="C59" i="17" s="1"/>
  <c r="D304" i="2"/>
  <c r="D293" i="2" s="1"/>
  <c r="D482" i="2" s="1"/>
  <c r="D504" i="2" s="1"/>
  <c r="I131" i="2" l="1"/>
  <c r="D316" i="2"/>
  <c r="E27" i="14"/>
  <c r="E12" i="14"/>
  <c r="BC479" i="2"/>
  <c r="BC501" i="2" s="1"/>
  <c r="M49" i="56"/>
  <c r="L49" i="56"/>
  <c r="CE21" i="44"/>
  <c r="D9" i="56"/>
  <c r="I472" i="2"/>
  <c r="I494" i="2" s="1"/>
  <c r="I125" i="2"/>
  <c r="C15" i="6"/>
  <c r="E59" i="17"/>
  <c r="CC23" i="44"/>
  <c r="CC24" i="44" l="1"/>
  <c r="I165" i="2"/>
  <c r="CD23" i="44"/>
  <c r="CE23" i="44"/>
  <c r="CD24" i="44" l="1"/>
  <c r="CF23" i="44"/>
  <c r="CE24" i="44"/>
  <c r="I226" i="2"/>
  <c r="I167" i="2"/>
  <c r="I169" i="2" s="1"/>
  <c r="I192" i="2" s="1"/>
  <c r="D14" i="14"/>
  <c r="D16" i="14" s="1"/>
  <c r="I186" i="2" l="1"/>
  <c r="I475" i="2"/>
  <c r="I497" i="2" s="1"/>
  <c r="E9" i="56"/>
  <c r="I228" i="2"/>
  <c r="I230" i="2" s="1"/>
  <c r="E14" i="14"/>
  <c r="E16" i="14" s="1"/>
  <c r="CF24" i="44"/>
  <c r="I478" i="2" l="1"/>
  <c r="I500" i="2" s="1"/>
  <c r="I247" i="2"/>
  <c r="F9" i="56"/>
  <c r="G9" i="56" s="1"/>
  <c r="I253" i="2"/>
  <c r="RH17" i="44" l="1"/>
  <c r="RG21" i="44"/>
  <c r="RG25" i="44" s="1"/>
  <c r="RG27" i="44" s="1"/>
  <c r="RG29" i="44" s="1"/>
  <c r="RG31" i="44" s="1"/>
  <c r="RH21" i="44" l="1"/>
  <c r="RH25" i="44" s="1"/>
  <c r="RH27" i="44" s="1"/>
  <c r="AE99" i="2"/>
  <c r="RH29" i="44" l="1"/>
  <c r="AE104" i="2" s="1"/>
  <c r="RH31" i="44" l="1"/>
  <c r="AE106" i="2"/>
  <c r="AE108" i="2" s="1"/>
  <c r="D31" i="56" l="1"/>
  <c r="G31" i="56" s="1"/>
  <c r="AE125" i="2"/>
  <c r="AE131" i="2"/>
  <c r="AE472" i="2"/>
  <c r="AE494" i="2" s="1"/>
  <c r="OL30" i="44" l="1"/>
  <c r="OL32" i="44" s="1"/>
  <c r="OK28" i="44" l="1"/>
  <c r="OK30" i="44" s="1"/>
  <c r="OK32" i="44" s="1"/>
  <c r="OM28" i="44"/>
  <c r="OM30" i="44" s="1"/>
  <c r="OM32" i="44" s="1"/>
  <c r="OL34" i="44"/>
  <c r="OL35" i="44" s="1"/>
  <c r="AA99" i="2" l="1"/>
  <c r="OM34" i="44"/>
  <c r="AA104" i="2" s="1"/>
  <c r="OK34" i="44"/>
  <c r="AA43" i="2" s="1"/>
  <c r="AA38" i="2"/>
  <c r="OK35" i="44" l="1"/>
  <c r="BB38" i="2"/>
  <c r="AA45" i="2"/>
  <c r="AA47" i="2" s="1"/>
  <c r="OM35" i="44"/>
  <c r="BB99" i="2"/>
  <c r="AA106" i="2"/>
  <c r="AA108" i="2" s="1"/>
  <c r="AA70" i="2" l="1"/>
  <c r="F37" i="1"/>
  <c r="AA469" i="2"/>
  <c r="AA491" i="2" s="1"/>
  <c r="AA64" i="2"/>
  <c r="C27" i="56"/>
  <c r="AA131" i="2"/>
  <c r="AA125" i="2"/>
  <c r="AA472" i="2"/>
  <c r="AA494" i="2" s="1"/>
  <c r="D27" i="56"/>
  <c r="BC38" i="2"/>
  <c r="BC99" i="2" s="1"/>
  <c r="D37" i="1"/>
  <c r="D160" i="2" l="1"/>
  <c r="BC160" i="2"/>
  <c r="D221" i="2" s="1"/>
  <c r="BE99" i="2"/>
  <c r="E37" i="1"/>
  <c r="D99" i="2"/>
  <c r="G27" i="56"/>
  <c r="G37" i="1" l="1"/>
  <c r="BC221" i="2"/>
  <c r="I37" i="1" l="1"/>
  <c r="D282" i="2"/>
  <c r="U37" i="17" l="1"/>
  <c r="K37" i="1"/>
  <c r="C37" i="17" l="1"/>
  <c r="W37" i="17"/>
  <c r="E37" i="17" l="1"/>
  <c r="C64" i="44" l="1"/>
  <c r="AM22" i="44"/>
  <c r="J33" i="17"/>
  <c r="P14" i="6"/>
  <c r="U36" i="44"/>
  <c r="TZ21" i="44"/>
  <c r="UA21" i="44" s="1"/>
  <c r="Q33" i="17"/>
  <c r="BE40" i="45"/>
  <c r="BH40" i="45" s="1"/>
  <c r="M33" i="17"/>
  <c r="PB41" i="44" l="1"/>
  <c r="P16" i="6"/>
  <c r="P18" i="6" s="1"/>
  <c r="BI40" i="45"/>
  <c r="BJ40" i="45" s="1"/>
  <c r="S33" i="17"/>
  <c r="S44" i="17" s="1"/>
  <c r="S45" i="17" s="1"/>
  <c r="S47" i="17" s="1"/>
  <c r="Q44" i="17"/>
  <c r="Q45" i="17" s="1"/>
  <c r="Q47" i="17" s="1"/>
  <c r="UB21" i="44"/>
  <c r="Y36" i="44"/>
  <c r="AF36" i="44"/>
  <c r="AA36" i="44"/>
  <c r="X36" i="44"/>
  <c r="AC36" i="44"/>
  <c r="Z36" i="44"/>
  <c r="AB36" i="44"/>
  <c r="V36" i="44"/>
  <c r="AE36" i="44"/>
  <c r="AD36" i="44"/>
  <c r="W36" i="44"/>
  <c r="K33" i="17"/>
  <c r="AN22" i="44"/>
  <c r="AR22" i="44"/>
  <c r="AO22" i="44"/>
  <c r="AP22" i="44"/>
  <c r="AQ22" i="44"/>
  <c r="M14" i="6"/>
  <c r="C66" i="44"/>
  <c r="U38" i="44"/>
  <c r="Q41" i="17"/>
  <c r="S41" i="17" s="1"/>
  <c r="M41" i="17"/>
  <c r="O41" i="17" s="1"/>
  <c r="J41" i="17"/>
  <c r="K41" i="17" s="1"/>
  <c r="TZ23" i="44"/>
  <c r="UA23" i="44" s="1"/>
  <c r="UB23" i="44" s="1"/>
  <c r="AK42" i="2" s="1"/>
  <c r="BE43" i="45"/>
  <c r="BH43" i="45" s="1"/>
  <c r="AM24" i="44"/>
  <c r="M44" i="17"/>
  <c r="M45" i="17" s="1"/>
  <c r="M47" i="17" s="1"/>
  <c r="O33" i="17"/>
  <c r="O44" i="17" s="1"/>
  <c r="O45" i="17" s="1"/>
  <c r="O47" i="17" s="1"/>
  <c r="N64" i="44"/>
  <c r="M64" i="44"/>
  <c r="F64" i="44"/>
  <c r="K64" i="44"/>
  <c r="I64" i="44"/>
  <c r="D64" i="44"/>
  <c r="H64" i="44"/>
  <c r="G64" i="44"/>
  <c r="E64" i="44"/>
  <c r="J64" i="44"/>
  <c r="L64" i="44"/>
  <c r="AS307" i="2" l="1"/>
  <c r="AS309" i="2" s="1"/>
  <c r="AS483" i="2" s="1"/>
  <c r="AS505" i="2" s="1"/>
  <c r="AS246" i="2"/>
  <c r="AS248" i="2" s="1"/>
  <c r="AS480" i="2" s="1"/>
  <c r="AS502" i="2" s="1"/>
  <c r="PC41" i="44"/>
  <c r="PB43" i="44"/>
  <c r="PC43" i="44" s="1"/>
  <c r="AB42" i="2" s="1"/>
  <c r="O133" i="53" s="1"/>
  <c r="P19" i="6"/>
  <c r="O135" i="53"/>
  <c r="BL40" i="45"/>
  <c r="BH44" i="45"/>
  <c r="BI43" i="45"/>
  <c r="E52" i="55"/>
  <c r="F52" i="55" s="1"/>
  <c r="AP95" i="2"/>
  <c r="AR24" i="44"/>
  <c r="AN24" i="44"/>
  <c r="AP24" i="44"/>
  <c r="AQ24" i="44"/>
  <c r="AQ25" i="44" s="1"/>
  <c r="AO24" i="44"/>
  <c r="AO25" i="44" s="1"/>
  <c r="AP25" i="44"/>
  <c r="V73" i="44"/>
  <c r="AK34" i="2"/>
  <c r="UB24" i="44"/>
  <c r="UB36" i="44" s="1"/>
  <c r="W73" i="44"/>
  <c r="E34" i="2"/>
  <c r="G95" i="2"/>
  <c r="E95" i="2"/>
  <c r="M62" i="17"/>
  <c r="M60" i="17"/>
  <c r="UA24" i="44"/>
  <c r="UA36" i="44" s="1"/>
  <c r="UA37" i="44" s="1"/>
  <c r="UA38" i="44" s="1"/>
  <c r="E156" i="2"/>
  <c r="E66" i="44"/>
  <c r="J66" i="44"/>
  <c r="J67" i="44" s="1"/>
  <c r="J69" i="44" s="1"/>
  <c r="J70" i="44" s="1"/>
  <c r="J71" i="44" s="1"/>
  <c r="N66" i="44"/>
  <c r="N67" i="44" s="1"/>
  <c r="N69" i="44" s="1"/>
  <c r="N70" i="44" s="1"/>
  <c r="N71" i="44" s="1"/>
  <c r="I66" i="44"/>
  <c r="K66" i="44"/>
  <c r="K67" i="44" s="1"/>
  <c r="D66" i="44"/>
  <c r="D67" i="44" s="1"/>
  <c r="D69" i="44" s="1"/>
  <c r="D70" i="44" s="1"/>
  <c r="D71" i="44" s="1"/>
  <c r="M66" i="44"/>
  <c r="H66" i="44"/>
  <c r="H67" i="44" s="1"/>
  <c r="H69" i="44" s="1"/>
  <c r="H70" i="44" s="1"/>
  <c r="H71" i="44" s="1"/>
  <c r="G66" i="44"/>
  <c r="L66" i="44"/>
  <c r="L67" i="44" s="1"/>
  <c r="L69" i="44" s="1"/>
  <c r="L70" i="44" s="1"/>
  <c r="L71" i="44" s="1"/>
  <c r="F66" i="44"/>
  <c r="F67" i="44" s="1"/>
  <c r="F69" i="44" s="1"/>
  <c r="F70" i="44" s="1"/>
  <c r="F71" i="44" s="1"/>
  <c r="E278" i="2"/>
  <c r="G34" i="2"/>
  <c r="E217" i="2"/>
  <c r="Z38" i="44"/>
  <c r="Z39" i="44" s="1"/>
  <c r="Z63" i="44" s="1"/>
  <c r="Z64" i="44" s="1"/>
  <c r="Z65" i="44" s="1"/>
  <c r="AD38" i="44"/>
  <c r="AD39" i="44" s="1"/>
  <c r="AD63" i="44" s="1"/>
  <c r="AD64" i="44" s="1"/>
  <c r="AD65" i="44" s="1"/>
  <c r="AC38" i="44"/>
  <c r="AC39" i="44" s="1"/>
  <c r="AC63" i="44" s="1"/>
  <c r="AB38" i="44"/>
  <c r="AB39" i="44" s="1"/>
  <c r="AB63" i="44" s="1"/>
  <c r="Y38" i="44"/>
  <c r="Y39" i="44" s="1"/>
  <c r="Y63" i="44" s="1"/>
  <c r="AF38" i="44"/>
  <c r="AF39" i="44" s="1"/>
  <c r="AF63" i="44" s="1"/>
  <c r="X38" i="44"/>
  <c r="X39" i="44" s="1"/>
  <c r="X63" i="44" s="1"/>
  <c r="AE38" i="44"/>
  <c r="AE39" i="44" s="1"/>
  <c r="AE63" i="44" s="1"/>
  <c r="V38" i="44"/>
  <c r="AA38" i="44"/>
  <c r="AA39" i="44" s="1"/>
  <c r="AA63" i="44" s="1"/>
  <c r="AA64" i="44" s="1"/>
  <c r="AA65" i="44" s="1"/>
  <c r="W38" i="44"/>
  <c r="Q60" i="17"/>
  <c r="Q62" i="17"/>
  <c r="F192" i="2" l="1"/>
  <c r="F192" i="58"/>
  <c r="AB34" i="2"/>
  <c r="E44" i="55" s="1"/>
  <c r="PC44" i="44"/>
  <c r="PC50" i="44" s="1"/>
  <c r="PB44" i="44"/>
  <c r="PB50" i="44" s="1"/>
  <c r="PB52" i="44" s="1"/>
  <c r="PB53" i="44" s="1"/>
  <c r="AN25" i="44"/>
  <c r="AN27" i="44" s="1"/>
  <c r="P20" i="6"/>
  <c r="J42" i="17"/>
  <c r="D31" i="6"/>
  <c r="AR25" i="44"/>
  <c r="BJ43" i="45"/>
  <c r="BL43" i="45" s="1"/>
  <c r="BN43" i="45" s="1"/>
  <c r="BP43" i="45" s="1"/>
  <c r="E24" i="55"/>
  <c r="F24" i="55" s="1"/>
  <c r="E23" i="55"/>
  <c r="E51" i="55"/>
  <c r="B90" i="14" s="1"/>
  <c r="AB64" i="44"/>
  <c r="AB65" i="44" s="1"/>
  <c r="Y64" i="44"/>
  <c r="Y65" i="44" s="1"/>
  <c r="AO27" i="44"/>
  <c r="E9" i="55"/>
  <c r="AP27" i="44"/>
  <c r="E103" i="2"/>
  <c r="E42" i="2"/>
  <c r="G67" i="44"/>
  <c r="F34" i="2"/>
  <c r="W39" i="44"/>
  <c r="W77" i="44"/>
  <c r="O130" i="53"/>
  <c r="AC64" i="44"/>
  <c r="AC65" i="44" s="1"/>
  <c r="E10" i="55"/>
  <c r="G42" i="2"/>
  <c r="E286" i="2"/>
  <c r="AQ27" i="44"/>
  <c r="G103" i="2"/>
  <c r="BI44" i="45"/>
  <c r="O137" i="53"/>
  <c r="AP103" i="2"/>
  <c r="V39" i="44"/>
  <c r="V77" i="44"/>
  <c r="M67" i="44"/>
  <c r="UB37" i="44"/>
  <c r="AK43" i="58" s="1"/>
  <c r="AK45" i="58" s="1"/>
  <c r="AK47" i="58" s="1"/>
  <c r="BH48" i="45"/>
  <c r="BH46" i="45"/>
  <c r="AE64" i="44"/>
  <c r="AE65" i="44" s="1"/>
  <c r="K69" i="44"/>
  <c r="E225" i="2"/>
  <c r="X64" i="44"/>
  <c r="X65" i="44" s="1"/>
  <c r="E12" i="55"/>
  <c r="F13" i="55"/>
  <c r="F86" i="14" s="1"/>
  <c r="F91" i="14" s="1"/>
  <c r="I67" i="44"/>
  <c r="E164" i="2"/>
  <c r="E11" i="55"/>
  <c r="BN40" i="45"/>
  <c r="AF64" i="44"/>
  <c r="AF65" i="44" s="1"/>
  <c r="E67" i="44"/>
  <c r="F314" i="2" l="1"/>
  <c r="F314" i="58"/>
  <c r="AI429" i="58"/>
  <c r="AI431" i="58" s="1"/>
  <c r="W429" i="58"/>
  <c r="W431" i="58" s="1"/>
  <c r="K429" i="58"/>
  <c r="K431" i="58" s="1"/>
  <c r="AD368" i="58"/>
  <c r="AD370" i="58" s="1"/>
  <c r="R368" i="58"/>
  <c r="R370" i="58" s="1"/>
  <c r="F368" i="58"/>
  <c r="F370" i="58" s="1"/>
  <c r="AG429" i="58"/>
  <c r="AG431" i="58" s="1"/>
  <c r="U429" i="58"/>
  <c r="U431" i="58" s="1"/>
  <c r="I429" i="58"/>
  <c r="I431" i="58" s="1"/>
  <c r="BB368" i="58"/>
  <c r="BB370" i="58" s="1"/>
  <c r="AB368" i="58"/>
  <c r="AB370" i="58" s="1"/>
  <c r="P368" i="58"/>
  <c r="P370" i="58" s="1"/>
  <c r="D368" i="58"/>
  <c r="D370" i="58" s="1"/>
  <c r="AE429" i="58"/>
  <c r="AE431" i="58" s="1"/>
  <c r="Q429" i="58"/>
  <c r="Q431" i="58" s="1"/>
  <c r="AP368" i="58"/>
  <c r="AP370" i="58" s="1"/>
  <c r="V368" i="58"/>
  <c r="V370" i="58" s="1"/>
  <c r="H368" i="58"/>
  <c r="H370" i="58" s="1"/>
  <c r="AD429" i="58"/>
  <c r="AD431" i="58" s="1"/>
  <c r="P429" i="58"/>
  <c r="P431" i="58" s="1"/>
  <c r="AI368" i="58"/>
  <c r="AI370" i="58" s="1"/>
  <c r="U368" i="58"/>
  <c r="U370" i="58" s="1"/>
  <c r="G368" i="58"/>
  <c r="G370" i="58" s="1"/>
  <c r="AK307" i="58"/>
  <c r="AK309" i="58" s="1"/>
  <c r="Y307" i="58"/>
  <c r="Y309" i="58" s="1"/>
  <c r="M307" i="58"/>
  <c r="M309" i="58" s="1"/>
  <c r="AP429" i="58"/>
  <c r="AP431" i="58" s="1"/>
  <c r="R429" i="58"/>
  <c r="R431" i="58" s="1"/>
  <c r="AQ368" i="58"/>
  <c r="AQ370" i="58" s="1"/>
  <c r="S368" i="58"/>
  <c r="S370" i="58" s="1"/>
  <c r="AH429" i="58"/>
  <c r="AH431" i="58" s="1"/>
  <c r="O429" i="58"/>
  <c r="O431" i="58" s="1"/>
  <c r="AF429" i="58"/>
  <c r="AF431" i="58" s="1"/>
  <c r="N429" i="58"/>
  <c r="N431" i="58" s="1"/>
  <c r="AG368" i="58"/>
  <c r="AG370" i="58" s="1"/>
  <c r="O368" i="58"/>
  <c r="O370" i="58" s="1"/>
  <c r="BB307" i="58"/>
  <c r="AG307" i="58"/>
  <c r="AG309" i="58" s="1"/>
  <c r="T307" i="58"/>
  <c r="T309" i="58" s="1"/>
  <c r="G307" i="58"/>
  <c r="G309" i="58" s="1"/>
  <c r="AC429" i="58"/>
  <c r="AC431" i="58" s="1"/>
  <c r="M429" i="58"/>
  <c r="M431" i="58" s="1"/>
  <c r="AF368" i="58"/>
  <c r="AF370" i="58" s="1"/>
  <c r="N368" i="58"/>
  <c r="N370" i="58" s="1"/>
  <c r="AF307" i="58"/>
  <c r="AF309" i="58" s="1"/>
  <c r="S307" i="58"/>
  <c r="S309" i="58" s="1"/>
  <c r="F307" i="58"/>
  <c r="F309" i="58" s="1"/>
  <c r="AR246" i="58"/>
  <c r="AR248" i="58" s="1"/>
  <c r="AF246" i="58"/>
  <c r="AF248" i="58" s="1"/>
  <c r="T246" i="58"/>
  <c r="T248" i="58" s="1"/>
  <c r="H246" i="58"/>
  <c r="H248" i="58" s="1"/>
  <c r="AR185" i="58"/>
  <c r="AF185" i="58"/>
  <c r="AF187" i="58" s="1"/>
  <c r="T185" i="58"/>
  <c r="T187" i="58" s="1"/>
  <c r="H185" i="58"/>
  <c r="H187" i="58" s="1"/>
  <c r="AJ124" i="58"/>
  <c r="AJ126" i="58" s="1"/>
  <c r="X124" i="58"/>
  <c r="X126" i="58" s="1"/>
  <c r="L124" i="58"/>
  <c r="L126" i="58" s="1"/>
  <c r="BC429" i="58"/>
  <c r="BC431" i="58" s="1"/>
  <c r="S429" i="58"/>
  <c r="S431" i="58" s="1"/>
  <c r="Z368" i="58"/>
  <c r="Z370" i="58" s="1"/>
  <c r="AP307" i="58"/>
  <c r="AP309" i="58" s="1"/>
  <c r="AA307" i="58"/>
  <c r="AA309" i="58" s="1"/>
  <c r="K307" i="58"/>
  <c r="K309" i="58" s="1"/>
  <c r="BB429" i="58"/>
  <c r="BB431" i="58" s="1"/>
  <c r="L429" i="58"/>
  <c r="L431" i="58" s="1"/>
  <c r="Y368" i="58"/>
  <c r="Y370" i="58" s="1"/>
  <c r="AO307" i="58"/>
  <c r="AO309" i="58" s="1"/>
  <c r="Z307" i="58"/>
  <c r="Z309" i="58" s="1"/>
  <c r="J307" i="58"/>
  <c r="J309" i="58" s="1"/>
  <c r="AK246" i="58"/>
  <c r="AK248" i="58" s="1"/>
  <c r="X246" i="58"/>
  <c r="X248" i="58" s="1"/>
  <c r="K246" i="58"/>
  <c r="K248" i="58" s="1"/>
  <c r="AL185" i="58"/>
  <c r="AL187" i="58" s="1"/>
  <c r="Y185" i="58"/>
  <c r="Y187" i="58" s="1"/>
  <c r="L185" i="58"/>
  <c r="L187" i="58" s="1"/>
  <c r="V429" i="58"/>
  <c r="V431" i="58" s="1"/>
  <c r="AC368" i="58"/>
  <c r="AC370" i="58" s="1"/>
  <c r="I368" i="58"/>
  <c r="I370" i="58" s="1"/>
  <c r="AR307" i="58"/>
  <c r="AR309" i="58" s="1"/>
  <c r="AC307" i="58"/>
  <c r="AC309" i="58" s="1"/>
  <c r="N307" i="58"/>
  <c r="N309" i="58" s="1"/>
  <c r="AQ429" i="58"/>
  <c r="AQ431" i="58" s="1"/>
  <c r="D429" i="58"/>
  <c r="D431" i="58" s="1"/>
  <c r="AB429" i="58"/>
  <c r="AB431" i="58" s="1"/>
  <c r="W368" i="58"/>
  <c r="W370" i="58" s="1"/>
  <c r="AE307" i="58"/>
  <c r="AE309" i="58" s="1"/>
  <c r="I307" i="58"/>
  <c r="I309" i="58" s="1"/>
  <c r="BC246" i="58"/>
  <c r="AG246" i="58"/>
  <c r="AG248" i="58" s="1"/>
  <c r="R246" i="58"/>
  <c r="R248" i="58" s="1"/>
  <c r="D246" i="58"/>
  <c r="AM185" i="58"/>
  <c r="AM187" i="58" s="1"/>
  <c r="X185" i="58"/>
  <c r="X187" i="58" s="1"/>
  <c r="J185" i="58"/>
  <c r="J187" i="58" s="1"/>
  <c r="AQ124" i="58"/>
  <c r="AQ126" i="58" s="1"/>
  <c r="AD124" i="58"/>
  <c r="AD126" i="58" s="1"/>
  <c r="Q124" i="58"/>
  <c r="Q126" i="58" s="1"/>
  <c r="D124" i="58"/>
  <c r="AA429" i="58"/>
  <c r="AA431" i="58" s="1"/>
  <c r="T368" i="58"/>
  <c r="T370" i="58" s="1"/>
  <c r="AD307" i="58"/>
  <c r="AD309" i="58" s="1"/>
  <c r="H307" i="58"/>
  <c r="H309" i="58" s="1"/>
  <c r="Z429" i="58"/>
  <c r="Z431" i="58" s="1"/>
  <c r="Q368" i="58"/>
  <c r="Q370" i="58" s="1"/>
  <c r="AB307" i="58"/>
  <c r="AB309" i="58" s="1"/>
  <c r="E307" i="58"/>
  <c r="AD246" i="58"/>
  <c r="AD248" i="58" s="1"/>
  <c r="P246" i="58"/>
  <c r="P248" i="58" s="1"/>
  <c r="Y429" i="58"/>
  <c r="Y431" i="58" s="1"/>
  <c r="BC368" i="58"/>
  <c r="BC370" i="58" s="1"/>
  <c r="V307" i="58"/>
  <c r="V309" i="58" s="1"/>
  <c r="AO246" i="58"/>
  <c r="AO248" i="58" s="1"/>
  <c r="Y246" i="58"/>
  <c r="Y248" i="58" s="1"/>
  <c r="G246" i="58"/>
  <c r="G248" i="58" s="1"/>
  <c r="AK185" i="58"/>
  <c r="AK187" i="58" s="1"/>
  <c r="V185" i="58"/>
  <c r="V187" i="58" s="1"/>
  <c r="F185" i="58"/>
  <c r="F187" i="58" s="1"/>
  <c r="AI124" i="58"/>
  <c r="AI126" i="58" s="1"/>
  <c r="U124" i="58"/>
  <c r="U126" i="58" s="1"/>
  <c r="G124" i="58"/>
  <c r="G126" i="58" s="1"/>
  <c r="AR63" i="58"/>
  <c r="AA63" i="58"/>
  <c r="AA65" i="58" s="1"/>
  <c r="O63" i="58"/>
  <c r="O65" i="58" s="1"/>
  <c r="AG185" i="58"/>
  <c r="AG187" i="58" s="1"/>
  <c r="X429" i="58"/>
  <c r="X431" i="58" s="1"/>
  <c r="BC307" i="58"/>
  <c r="U307" i="58"/>
  <c r="U309" i="58" s="1"/>
  <c r="AN246" i="58"/>
  <c r="AN248" i="58" s="1"/>
  <c r="W246" i="58"/>
  <c r="W248" i="58" s="1"/>
  <c r="F246" i="58"/>
  <c r="F248" i="58" s="1"/>
  <c r="AJ185" i="58"/>
  <c r="AJ187" i="58" s="1"/>
  <c r="U185" i="58"/>
  <c r="U187" i="58" s="1"/>
  <c r="E185" i="58"/>
  <c r="AH124" i="58"/>
  <c r="AH126" i="58" s="1"/>
  <c r="T124" i="58"/>
  <c r="T126" i="58" s="1"/>
  <c r="F124" i="58"/>
  <c r="F126" i="58" s="1"/>
  <c r="AQ63" i="58"/>
  <c r="AQ65" i="58" s="1"/>
  <c r="Z63" i="58"/>
  <c r="Z65" i="58" s="1"/>
  <c r="N63" i="58"/>
  <c r="N65" i="58" s="1"/>
  <c r="AE368" i="58"/>
  <c r="AE370" i="58" s="1"/>
  <c r="P307" i="58"/>
  <c r="P309" i="58" s="1"/>
  <c r="AJ246" i="58"/>
  <c r="AJ248" i="58" s="1"/>
  <c r="Q185" i="58"/>
  <c r="Q187" i="58" s="1"/>
  <c r="T429" i="58"/>
  <c r="T431" i="58" s="1"/>
  <c r="AR368" i="58"/>
  <c r="AR370" i="58" s="1"/>
  <c r="R307" i="58"/>
  <c r="R309" i="58" s="1"/>
  <c r="AM246" i="58"/>
  <c r="AM248" i="58" s="1"/>
  <c r="V246" i="58"/>
  <c r="V248" i="58" s="1"/>
  <c r="E246" i="58"/>
  <c r="AI185" i="58"/>
  <c r="AI187" i="58" s="1"/>
  <c r="S185" i="58"/>
  <c r="S187" i="58" s="1"/>
  <c r="D185" i="58"/>
  <c r="BC124" i="58"/>
  <c r="AG124" i="58"/>
  <c r="AG126" i="58" s="1"/>
  <c r="S124" i="58"/>
  <c r="S126" i="58" s="1"/>
  <c r="E124" i="58"/>
  <c r="AP63" i="58"/>
  <c r="AP65" i="58" s="1"/>
  <c r="Y63" i="58"/>
  <c r="Y65" i="58" s="1"/>
  <c r="M63" i="58"/>
  <c r="M65" i="58" s="1"/>
  <c r="S246" i="58"/>
  <c r="S248" i="58" s="1"/>
  <c r="AE124" i="58"/>
  <c r="AE126" i="58" s="1"/>
  <c r="J429" i="58"/>
  <c r="J431" i="58" s="1"/>
  <c r="AH368" i="58"/>
  <c r="AH370" i="58" s="1"/>
  <c r="AQ307" i="58"/>
  <c r="AQ309" i="58" s="1"/>
  <c r="Q307" i="58"/>
  <c r="Q309" i="58" s="1"/>
  <c r="AL246" i="58"/>
  <c r="AL248" i="58" s="1"/>
  <c r="U246" i="58"/>
  <c r="U248" i="58" s="1"/>
  <c r="AH185" i="58"/>
  <c r="AH187" i="58" s="1"/>
  <c r="R185" i="58"/>
  <c r="R187" i="58" s="1"/>
  <c r="BB124" i="58"/>
  <c r="AF124" i="58"/>
  <c r="AF126" i="58" s="1"/>
  <c r="R124" i="58"/>
  <c r="R126" i="58" s="1"/>
  <c r="AO63" i="58"/>
  <c r="AO65" i="58" s="1"/>
  <c r="X63" i="58"/>
  <c r="X65" i="58" s="1"/>
  <c r="L63" i="58"/>
  <c r="L65" i="58" s="1"/>
  <c r="H429" i="58"/>
  <c r="H431" i="58" s="1"/>
  <c r="AN307" i="58"/>
  <c r="AN309" i="58" s="1"/>
  <c r="P124" i="58"/>
  <c r="P126" i="58" s="1"/>
  <c r="F429" i="58"/>
  <c r="F431" i="58" s="1"/>
  <c r="W307" i="58"/>
  <c r="W309" i="58" s="1"/>
  <c r="AB246" i="58"/>
  <c r="AB248" i="58" s="1"/>
  <c r="AC185" i="58"/>
  <c r="AC187" i="58" s="1"/>
  <c r="AO124" i="58"/>
  <c r="AO126" i="58" s="1"/>
  <c r="O124" i="58"/>
  <c r="O126" i="58" s="1"/>
  <c r="AM63" i="58"/>
  <c r="AM65" i="58" s="1"/>
  <c r="R63" i="58"/>
  <c r="R65" i="58" s="1"/>
  <c r="AC124" i="58"/>
  <c r="AC126" i="58" s="1"/>
  <c r="J368" i="58"/>
  <c r="J370" i="58" s="1"/>
  <c r="AM307" i="58"/>
  <c r="AM309" i="58" s="1"/>
  <c r="M246" i="58"/>
  <c r="M248" i="58" s="1"/>
  <c r="N185" i="58"/>
  <c r="N187" i="58" s="1"/>
  <c r="AA124" i="58"/>
  <c r="AA126" i="58" s="1"/>
  <c r="J246" i="58"/>
  <c r="J248" i="58" s="1"/>
  <c r="M185" i="58"/>
  <c r="M187" i="58" s="1"/>
  <c r="Z124" i="58"/>
  <c r="Z126" i="58" s="1"/>
  <c r="F63" i="58"/>
  <c r="AE185" i="58"/>
  <c r="AE187" i="58" s="1"/>
  <c r="W124" i="58"/>
  <c r="W126" i="58" s="1"/>
  <c r="T63" i="58"/>
  <c r="T65" i="58" s="1"/>
  <c r="G429" i="58"/>
  <c r="G431" i="58" s="1"/>
  <c r="X307" i="58"/>
  <c r="X309" i="58" s="1"/>
  <c r="AC246" i="58"/>
  <c r="AC248" i="58" s="1"/>
  <c r="AD185" i="58"/>
  <c r="AD187" i="58" s="1"/>
  <c r="V124" i="58"/>
  <c r="V126" i="58" s="1"/>
  <c r="S63" i="58"/>
  <c r="S65" i="58" s="1"/>
  <c r="E429" i="58"/>
  <c r="E431" i="58" s="1"/>
  <c r="AA368" i="58"/>
  <c r="AA370" i="58" s="1"/>
  <c r="O307" i="58"/>
  <c r="O309" i="58" s="1"/>
  <c r="AA246" i="58"/>
  <c r="AA248" i="58" s="1"/>
  <c r="AB185" i="58"/>
  <c r="AB187" i="58" s="1"/>
  <c r="AN124" i="58"/>
  <c r="AN126" i="58" s="1"/>
  <c r="N124" i="58"/>
  <c r="N126" i="58" s="1"/>
  <c r="AL63" i="58"/>
  <c r="AL65" i="58" s="1"/>
  <c r="Q63" i="58"/>
  <c r="Q65" i="58" s="1"/>
  <c r="N246" i="58"/>
  <c r="N248" i="58" s="1"/>
  <c r="O185" i="58"/>
  <c r="O187" i="58" s="1"/>
  <c r="AB63" i="58"/>
  <c r="AB65" i="58" s="1"/>
  <c r="AP185" i="58"/>
  <c r="AP187" i="58" s="1"/>
  <c r="W63" i="58"/>
  <c r="W65" i="58" s="1"/>
  <c r="V63" i="58"/>
  <c r="V65" i="58" s="1"/>
  <c r="Y124" i="58"/>
  <c r="Y126" i="58" s="1"/>
  <c r="X368" i="58"/>
  <c r="X370" i="58" s="1"/>
  <c r="L307" i="58"/>
  <c r="L309" i="58" s="1"/>
  <c r="Z246" i="58"/>
  <c r="Z248" i="58" s="1"/>
  <c r="AA185" i="58"/>
  <c r="AA187" i="58" s="1"/>
  <c r="AM124" i="58"/>
  <c r="AM126" i="58" s="1"/>
  <c r="M124" i="58"/>
  <c r="M126" i="58" s="1"/>
  <c r="AK63" i="58"/>
  <c r="P63" i="58"/>
  <c r="P65" i="58" s="1"/>
  <c r="AD63" i="58"/>
  <c r="AD65" i="58" s="1"/>
  <c r="K368" i="58"/>
  <c r="K370" i="58" s="1"/>
  <c r="P185" i="58"/>
  <c r="P187" i="58" s="1"/>
  <c r="I63" i="58"/>
  <c r="I65" i="58" s="1"/>
  <c r="AQ185" i="58"/>
  <c r="AQ187" i="58" s="1"/>
  <c r="AB124" i="58"/>
  <c r="AB126" i="58" s="1"/>
  <c r="E368" i="58"/>
  <c r="E370" i="58" s="1"/>
  <c r="AP246" i="58"/>
  <c r="AP248" i="58" s="1"/>
  <c r="AI246" i="58"/>
  <c r="AI248" i="58" s="1"/>
  <c r="I246" i="58"/>
  <c r="I248" i="58" s="1"/>
  <c r="K185" i="58"/>
  <c r="K187" i="58" s="1"/>
  <c r="BB63" i="58"/>
  <c r="U63" i="58"/>
  <c r="U65" i="58" s="1"/>
  <c r="E63" i="58"/>
  <c r="AR429" i="58"/>
  <c r="AR431" i="58" s="1"/>
  <c r="AH307" i="58"/>
  <c r="AH309" i="58" s="1"/>
  <c r="AE246" i="58"/>
  <c r="AE248" i="58" s="1"/>
  <c r="I185" i="58"/>
  <c r="I187" i="58" s="1"/>
  <c r="AR124" i="58"/>
  <c r="D63" i="58"/>
  <c r="D65" i="58" s="1"/>
  <c r="G185" i="58"/>
  <c r="G187" i="58" s="1"/>
  <c r="AP124" i="58"/>
  <c r="AN63" i="58"/>
  <c r="AN65" i="58" s="1"/>
  <c r="M368" i="58"/>
  <c r="M370" i="58" s="1"/>
  <c r="D307" i="58"/>
  <c r="Q246" i="58"/>
  <c r="Q248" i="58" s="1"/>
  <c r="BC185" i="58"/>
  <c r="Z185" i="58"/>
  <c r="Z187" i="58" s="1"/>
  <c r="AL124" i="58"/>
  <c r="AL126" i="58" s="1"/>
  <c r="K124" i="58"/>
  <c r="K126" i="58" s="1"/>
  <c r="AI63" i="58"/>
  <c r="AI65" i="58" s="1"/>
  <c r="K63" i="58"/>
  <c r="K65" i="58" s="1"/>
  <c r="L368" i="58"/>
  <c r="L370" i="58" s="1"/>
  <c r="BB246" i="58"/>
  <c r="O246" i="58"/>
  <c r="O248" i="58" s="1"/>
  <c r="BB185" i="58"/>
  <c r="W185" i="58"/>
  <c r="W187" i="58" s="1"/>
  <c r="AK124" i="58"/>
  <c r="AK126" i="58" s="1"/>
  <c r="J124" i="58"/>
  <c r="J126" i="58" s="1"/>
  <c r="J63" i="58"/>
  <c r="J65" i="58" s="1"/>
  <c r="I124" i="58"/>
  <c r="I126" i="58" s="1"/>
  <c r="AC63" i="58"/>
  <c r="AC65" i="58" s="1"/>
  <c r="AQ246" i="58"/>
  <c r="AQ248" i="58" s="1"/>
  <c r="H124" i="58"/>
  <c r="H126" i="58" s="1"/>
  <c r="H63" i="58"/>
  <c r="H65" i="58" s="1"/>
  <c r="AL307" i="58"/>
  <c r="AL309" i="58" s="1"/>
  <c r="L246" i="58"/>
  <c r="L248" i="58" s="1"/>
  <c r="G63" i="58"/>
  <c r="G65" i="58" s="1"/>
  <c r="AJ307" i="58"/>
  <c r="AJ309" i="58" s="1"/>
  <c r="AO185" i="58"/>
  <c r="AO187" i="58" s="1"/>
  <c r="BC63" i="58"/>
  <c r="AI307" i="58"/>
  <c r="AI309" i="58" s="1"/>
  <c r="AH246" i="58"/>
  <c r="AH248" i="58" s="1"/>
  <c r="AN185" i="58"/>
  <c r="AN187" i="58" s="1"/>
  <c r="F131" i="2"/>
  <c r="F131" i="58"/>
  <c r="AK64" i="58"/>
  <c r="F253" i="2"/>
  <c r="F253" i="58"/>
  <c r="E28" i="55"/>
  <c r="BJ44" i="45"/>
  <c r="BJ48" i="45" s="1"/>
  <c r="AR27" i="44"/>
  <c r="AR29" i="44" s="1"/>
  <c r="B88" i="14"/>
  <c r="PC52" i="44"/>
  <c r="AB43" i="2" s="1"/>
  <c r="AB45" i="2" s="1"/>
  <c r="AB47" i="2" s="1"/>
  <c r="B89" i="14"/>
  <c r="E49" i="55"/>
  <c r="F44" i="55"/>
  <c r="F49" i="55" s="1"/>
  <c r="F23" i="55"/>
  <c r="F28" i="55" s="1"/>
  <c r="M81" i="48" s="1"/>
  <c r="BL44" i="45"/>
  <c r="BL48" i="45" s="1"/>
  <c r="M79" i="1"/>
  <c r="H47" i="57"/>
  <c r="K42" i="17"/>
  <c r="K44" i="17" s="1"/>
  <c r="K45" i="17" s="1"/>
  <c r="K47" i="17" s="1"/>
  <c r="K62" i="17" s="1"/>
  <c r="K65" i="17" s="1"/>
  <c r="K69" i="17" s="1"/>
  <c r="J44" i="17"/>
  <c r="J45" i="17" s="1"/>
  <c r="J47" i="17" s="1"/>
  <c r="J45" i="57"/>
  <c r="BB368" i="2"/>
  <c r="BB370" i="2" s="1"/>
  <c r="BB486" i="2" s="1"/>
  <c r="BB508" i="2" s="1"/>
  <c r="AQ368" i="2"/>
  <c r="AQ370" i="2" s="1"/>
  <c r="AQ486" i="2" s="1"/>
  <c r="AQ508" i="2" s="1"/>
  <c r="V185" i="2"/>
  <c r="V187" i="2" s="1"/>
  <c r="V429" i="2"/>
  <c r="V431" i="2" s="1"/>
  <c r="V489" i="2" s="1"/>
  <c r="V511" i="2" s="1"/>
  <c r="AH246" i="2"/>
  <c r="AH248" i="2" s="1"/>
  <c r="E63" i="2"/>
  <c r="X124" i="2"/>
  <c r="X126" i="2" s="1"/>
  <c r="AR429" i="2"/>
  <c r="AR431" i="2" s="1"/>
  <c r="AR489" i="2" s="1"/>
  <c r="AR511" i="2" s="1"/>
  <c r="C20" i="6"/>
  <c r="E185" i="2"/>
  <c r="AP307" i="2"/>
  <c r="AP309" i="2" s="1"/>
  <c r="E429" i="2"/>
  <c r="E431" i="2" s="1"/>
  <c r="E489" i="2" s="1"/>
  <c r="E511" i="2" s="1"/>
  <c r="AH368" i="2"/>
  <c r="AH370" i="2" s="1"/>
  <c r="AH486" i="2" s="1"/>
  <c r="AH508" i="2" s="1"/>
  <c r="J368" i="2"/>
  <c r="J370" i="2" s="1"/>
  <c r="J486" i="2" s="1"/>
  <c r="J508" i="2" s="1"/>
  <c r="M429" i="2"/>
  <c r="M431" i="2" s="1"/>
  <c r="M489" i="2" s="1"/>
  <c r="M511" i="2" s="1"/>
  <c r="AB185" i="2"/>
  <c r="AB187" i="2" s="1"/>
  <c r="E124" i="2"/>
  <c r="BC368" i="2"/>
  <c r="BC370" i="2" s="1"/>
  <c r="BC486" i="2" s="1"/>
  <c r="BC508" i="2" s="1"/>
  <c r="N429" i="2"/>
  <c r="N431" i="2" s="1"/>
  <c r="N489" i="2" s="1"/>
  <c r="N511" i="2" s="1"/>
  <c r="I246" i="2"/>
  <c r="I248" i="2" s="1"/>
  <c r="Q307" i="2"/>
  <c r="Q309" i="2" s="1"/>
  <c r="G185" i="2"/>
  <c r="G187" i="2" s="1"/>
  <c r="AN185" i="2"/>
  <c r="AN187" i="2" s="1"/>
  <c r="P185" i="2"/>
  <c r="P187" i="2" s="1"/>
  <c r="BC429" i="2"/>
  <c r="BC431" i="2" s="1"/>
  <c r="BC489" i="2" s="1"/>
  <c r="BC511" i="2" s="1"/>
  <c r="AC429" i="2"/>
  <c r="AC431" i="2" s="1"/>
  <c r="AC489" i="2" s="1"/>
  <c r="AC511" i="2" s="1"/>
  <c r="D246" i="2"/>
  <c r="BB429" i="2"/>
  <c r="BB431" i="2" s="1"/>
  <c r="BB489" i="2" s="1"/>
  <c r="BB511" i="2" s="1"/>
  <c r="AP368" i="2"/>
  <c r="AP370" i="2" s="1"/>
  <c r="AP486" i="2" s="1"/>
  <c r="AP508" i="2" s="1"/>
  <c r="O429" i="2"/>
  <c r="O431" i="2" s="1"/>
  <c r="O489" i="2" s="1"/>
  <c r="O511" i="2" s="1"/>
  <c r="AD124" i="2"/>
  <c r="AD126" i="2" s="1"/>
  <c r="R246" i="2"/>
  <c r="R248" i="2" s="1"/>
  <c r="Z429" i="2"/>
  <c r="Z431" i="2" s="1"/>
  <c r="Z489" i="2" s="1"/>
  <c r="Z511" i="2" s="1"/>
  <c r="AP429" i="2"/>
  <c r="AP431" i="2" s="1"/>
  <c r="AP489" i="2" s="1"/>
  <c r="AP511" i="2" s="1"/>
  <c r="W429" i="2"/>
  <c r="W431" i="2" s="1"/>
  <c r="W489" i="2" s="1"/>
  <c r="W511" i="2" s="1"/>
  <c r="AA307" i="2"/>
  <c r="AA309" i="2" s="1"/>
  <c r="AK124" i="2"/>
  <c r="AK126" i="2" s="1"/>
  <c r="AR307" i="2"/>
  <c r="AR185" i="2"/>
  <c r="AR368" i="2"/>
  <c r="AR370" i="2" s="1"/>
  <c r="AR486" i="2" s="1"/>
  <c r="AR508" i="2" s="1"/>
  <c r="AC307" i="2"/>
  <c r="AC309" i="2" s="1"/>
  <c r="AM246" i="2"/>
  <c r="AM248" i="2" s="1"/>
  <c r="BC307" i="2"/>
  <c r="AM124" i="2"/>
  <c r="AM126" i="2" s="1"/>
  <c r="J429" i="2"/>
  <c r="J431" i="2" s="1"/>
  <c r="J489" i="2" s="1"/>
  <c r="J511" i="2" s="1"/>
  <c r="V307" i="2"/>
  <c r="V309" i="2" s="1"/>
  <c r="Y185" i="2"/>
  <c r="Y187" i="2" s="1"/>
  <c r="BC246" i="2"/>
  <c r="V246" i="2"/>
  <c r="V248" i="2" s="1"/>
  <c r="AQ429" i="2"/>
  <c r="AQ431" i="2" s="1"/>
  <c r="AQ489" i="2" s="1"/>
  <c r="AQ511" i="2" s="1"/>
  <c r="AF124" i="2"/>
  <c r="AF126" i="2" s="1"/>
  <c r="D368" i="2"/>
  <c r="D370" i="2" s="1"/>
  <c r="D486" i="2" s="1"/>
  <c r="D508" i="2" s="1"/>
  <c r="AF307" i="2"/>
  <c r="AF309" i="2" s="1"/>
  <c r="P63" i="2"/>
  <c r="P65" i="2" s="1"/>
  <c r="U124" i="2"/>
  <c r="U126" i="2" s="1"/>
  <c r="U63" i="2"/>
  <c r="U65" i="2" s="1"/>
  <c r="K124" i="2"/>
  <c r="K126" i="2" s="1"/>
  <c r="E368" i="2"/>
  <c r="E370" i="2" s="1"/>
  <c r="E486" i="2" s="1"/>
  <c r="E508" i="2" s="1"/>
  <c r="Q63" i="2"/>
  <c r="Q65" i="2" s="1"/>
  <c r="M185" i="2"/>
  <c r="M187" i="2" s="1"/>
  <c r="Y307" i="2"/>
  <c r="Y309" i="2" s="1"/>
  <c r="P307" i="2"/>
  <c r="P309" i="2" s="1"/>
  <c r="AC368" i="2"/>
  <c r="AC370" i="2" s="1"/>
  <c r="AC486" i="2" s="1"/>
  <c r="AC508" i="2" s="1"/>
  <c r="S368" i="2"/>
  <c r="S370" i="2" s="1"/>
  <c r="S486" i="2" s="1"/>
  <c r="S508" i="2" s="1"/>
  <c r="D307" i="2"/>
  <c r="I368" i="2"/>
  <c r="I370" i="2" s="1"/>
  <c r="I486" i="2" s="1"/>
  <c r="I508" i="2" s="1"/>
  <c r="K368" i="2"/>
  <c r="K370" i="2" s="1"/>
  <c r="K486" i="2" s="1"/>
  <c r="K508" i="2" s="1"/>
  <c r="AH307" i="2"/>
  <c r="AH309" i="2" s="1"/>
  <c r="R124" i="2"/>
  <c r="R126" i="2" s="1"/>
  <c r="AE429" i="2"/>
  <c r="AE431" i="2" s="1"/>
  <c r="AE489" i="2" s="1"/>
  <c r="AE511" i="2" s="1"/>
  <c r="Q368" i="2"/>
  <c r="Q370" i="2" s="1"/>
  <c r="Q486" i="2" s="1"/>
  <c r="Q508" i="2" s="1"/>
  <c r="AC246" i="2"/>
  <c r="AC248" i="2" s="1"/>
  <c r="AI429" i="2"/>
  <c r="AI431" i="2" s="1"/>
  <c r="AI489" i="2" s="1"/>
  <c r="AI511" i="2" s="1"/>
  <c r="AO307" i="2"/>
  <c r="AO309" i="2" s="1"/>
  <c r="S185" i="2"/>
  <c r="S187" i="2" s="1"/>
  <c r="AG246" i="2"/>
  <c r="AG248" i="2" s="1"/>
  <c r="AG429" i="2"/>
  <c r="AG431" i="2" s="1"/>
  <c r="AG489" i="2" s="1"/>
  <c r="AG511" i="2" s="1"/>
  <c r="K246" i="2"/>
  <c r="K248" i="2" s="1"/>
  <c r="M368" i="2"/>
  <c r="M370" i="2" s="1"/>
  <c r="M486" i="2" s="1"/>
  <c r="M508" i="2" s="1"/>
  <c r="AK63" i="2"/>
  <c r="I124" i="2"/>
  <c r="I126" i="2" s="1"/>
  <c r="AE307" i="2"/>
  <c r="AE309" i="2" s="1"/>
  <c r="Y368" i="2"/>
  <c r="Y370" i="2" s="1"/>
  <c r="Y486" i="2" s="1"/>
  <c r="Y508" i="2" s="1"/>
  <c r="BB246" i="2"/>
  <c r="D124" i="2"/>
  <c r="K307" i="2"/>
  <c r="K309" i="2" s="1"/>
  <c r="U368" i="2"/>
  <c r="U370" i="2" s="1"/>
  <c r="U486" i="2" s="1"/>
  <c r="U508" i="2" s="1"/>
  <c r="W368" i="2"/>
  <c r="W370" i="2" s="1"/>
  <c r="W486" i="2" s="1"/>
  <c r="W508" i="2" s="1"/>
  <c r="AL307" i="2"/>
  <c r="AL309" i="2" s="1"/>
  <c r="C63" i="1"/>
  <c r="AF368" i="2"/>
  <c r="AF370" i="2" s="1"/>
  <c r="AF486" i="2" s="1"/>
  <c r="AF508" i="2" s="1"/>
  <c r="AI124" i="2"/>
  <c r="AI126" i="2" s="1"/>
  <c r="F63" i="2"/>
  <c r="AB246" i="2"/>
  <c r="AB248" i="2" s="1"/>
  <c r="Y124" i="2"/>
  <c r="Y126" i="2" s="1"/>
  <c r="G429" i="2"/>
  <c r="G431" i="2" s="1"/>
  <c r="G489" i="2" s="1"/>
  <c r="G511" i="2" s="1"/>
  <c r="F246" i="2"/>
  <c r="F248" i="2" s="1"/>
  <c r="L368" i="2"/>
  <c r="L370" i="2" s="1"/>
  <c r="L486" i="2" s="1"/>
  <c r="L508" i="2" s="1"/>
  <c r="AO124" i="2"/>
  <c r="AO126" i="2" s="1"/>
  <c r="AB429" i="2"/>
  <c r="AB431" i="2" s="1"/>
  <c r="AB489" i="2" s="1"/>
  <c r="AB511" i="2" s="1"/>
  <c r="L246" i="2"/>
  <c r="L248" i="2" s="1"/>
  <c r="P368" i="2"/>
  <c r="P370" i="2" s="1"/>
  <c r="P486" i="2" s="1"/>
  <c r="P508" i="2" s="1"/>
  <c r="O124" i="2"/>
  <c r="AQ246" i="2"/>
  <c r="AQ248" i="2" s="1"/>
  <c r="AO63" i="2"/>
  <c r="AO65" i="2" s="1"/>
  <c r="S246" i="2"/>
  <c r="S248" i="2" s="1"/>
  <c r="I185" i="2"/>
  <c r="I187" i="2" s="1"/>
  <c r="W63" i="2"/>
  <c r="W65" i="2" s="1"/>
  <c r="T246" i="2"/>
  <c r="T248" i="2" s="1"/>
  <c r="G246" i="2"/>
  <c r="G248" i="2" s="1"/>
  <c r="AM63" i="2"/>
  <c r="AM65" i="2" s="1"/>
  <c r="O368" i="2"/>
  <c r="O370" i="2" s="1"/>
  <c r="O486" i="2" s="1"/>
  <c r="O508" i="2" s="1"/>
  <c r="AG124" i="2"/>
  <c r="AG126" i="2" s="1"/>
  <c r="AQ185" i="2"/>
  <c r="AQ187" i="2" s="1"/>
  <c r="AE368" i="2"/>
  <c r="AE370" i="2" s="1"/>
  <c r="AE486" i="2" s="1"/>
  <c r="AE508" i="2" s="1"/>
  <c r="M307" i="2"/>
  <c r="M309" i="2" s="1"/>
  <c r="AJ124" i="2"/>
  <c r="AJ126" i="2" s="1"/>
  <c r="H185" i="2"/>
  <c r="H187" i="2" s="1"/>
  <c r="AN307" i="2"/>
  <c r="AN309" i="2" s="1"/>
  <c r="AG368" i="2"/>
  <c r="AG370" i="2" s="1"/>
  <c r="AG486" i="2" s="1"/>
  <c r="AG508" i="2" s="1"/>
  <c r="AM307" i="2"/>
  <c r="AM309" i="2" s="1"/>
  <c r="BC185" i="2"/>
  <c r="R63" i="2"/>
  <c r="R65" i="2" s="1"/>
  <c r="AE185" i="2"/>
  <c r="AE187" i="2" s="1"/>
  <c r="AP246" i="2"/>
  <c r="AP248" i="2" s="1"/>
  <c r="G124" i="2"/>
  <c r="AA185" i="2"/>
  <c r="AA187" i="2" s="1"/>
  <c r="AA429" i="2"/>
  <c r="AA431" i="2" s="1"/>
  <c r="AA489" i="2" s="1"/>
  <c r="AA511" i="2" s="1"/>
  <c r="AK307" i="2"/>
  <c r="AK309" i="2" s="1"/>
  <c r="R368" i="2"/>
  <c r="R370" i="2" s="1"/>
  <c r="R486" i="2" s="1"/>
  <c r="R508" i="2" s="1"/>
  <c r="F307" i="2"/>
  <c r="F309" i="2" s="1"/>
  <c r="G307" i="2"/>
  <c r="G309" i="2" s="1"/>
  <c r="G63" i="2"/>
  <c r="AI63" i="2"/>
  <c r="AI65" i="2" s="1"/>
  <c r="Z307" i="2"/>
  <c r="O307" i="2"/>
  <c r="AL124" i="2"/>
  <c r="AL126" i="2" s="1"/>
  <c r="L185" i="2"/>
  <c r="L187" i="2" s="1"/>
  <c r="AR124" i="2"/>
  <c r="AD246" i="2"/>
  <c r="AD248" i="2" s="1"/>
  <c r="AO246" i="2"/>
  <c r="AO248" i="2" s="1"/>
  <c r="BB124" i="2"/>
  <c r="U185" i="2"/>
  <c r="U187" i="2" s="1"/>
  <c r="BB307" i="2"/>
  <c r="Y429" i="2"/>
  <c r="Y431" i="2" s="1"/>
  <c r="Y489" i="2" s="1"/>
  <c r="Y511" i="2" s="1"/>
  <c r="V368" i="2"/>
  <c r="V370" i="2" s="1"/>
  <c r="V486" i="2" s="1"/>
  <c r="V508" i="2" s="1"/>
  <c r="Q246" i="2"/>
  <c r="Q248" i="2" s="1"/>
  <c r="D63" i="2"/>
  <c r="D65" i="2" s="1"/>
  <c r="AD429" i="2"/>
  <c r="AD431" i="2" s="1"/>
  <c r="AD489" i="2" s="1"/>
  <c r="AD511" i="2" s="1"/>
  <c r="AL63" i="2"/>
  <c r="AL65" i="2" s="1"/>
  <c r="Z368" i="2"/>
  <c r="Z370" i="2" s="1"/>
  <c r="Z486" i="2" s="1"/>
  <c r="Z508" i="2" s="1"/>
  <c r="L124" i="2"/>
  <c r="L126" i="2" s="1"/>
  <c r="BC124" i="2"/>
  <c r="AG307" i="2"/>
  <c r="AG309" i="2" s="1"/>
  <c r="AJ307" i="2"/>
  <c r="AJ309" i="2" s="1"/>
  <c r="AD368" i="2"/>
  <c r="AD370" i="2" s="1"/>
  <c r="AD486" i="2" s="1"/>
  <c r="AD508" i="2" s="1"/>
  <c r="M63" i="2"/>
  <c r="M65" i="2" s="1"/>
  <c r="AB307" i="2"/>
  <c r="AB309" i="2" s="1"/>
  <c r="V63" i="2"/>
  <c r="V65" i="2" s="1"/>
  <c r="AC63" i="2"/>
  <c r="AC65" i="2" s="1"/>
  <c r="X185" i="2"/>
  <c r="X187" i="2" s="1"/>
  <c r="N246" i="2"/>
  <c r="N248" i="2" s="1"/>
  <c r="H63" i="2"/>
  <c r="H65" i="2" s="1"/>
  <c r="O63" i="2"/>
  <c r="AD63" i="2"/>
  <c r="AD65" i="2" s="1"/>
  <c r="AA368" i="2"/>
  <c r="AA370" i="2" s="1"/>
  <c r="AA486" i="2" s="1"/>
  <c r="AA508" i="2" s="1"/>
  <c r="AC185" i="2"/>
  <c r="AC187" i="2" s="1"/>
  <c r="L307" i="2"/>
  <c r="L309" i="2" s="1"/>
  <c r="AF429" i="2"/>
  <c r="AF431" i="2" s="1"/>
  <c r="AF489" i="2" s="1"/>
  <c r="AF511" i="2" s="1"/>
  <c r="W124" i="2"/>
  <c r="W126" i="2" s="1"/>
  <c r="AO185" i="2"/>
  <c r="AO187" i="2" s="1"/>
  <c r="L63" i="2"/>
  <c r="L65" i="2" s="1"/>
  <c r="H246" i="2"/>
  <c r="H248" i="2" s="1"/>
  <c r="W185" i="2"/>
  <c r="W187" i="2" s="1"/>
  <c r="Y246" i="2"/>
  <c r="Y248" i="2" s="1"/>
  <c r="Q124" i="2"/>
  <c r="Q126" i="2" s="1"/>
  <c r="Q429" i="2"/>
  <c r="Q431" i="2" s="1"/>
  <c r="Q489" i="2" s="1"/>
  <c r="Q511" i="2" s="1"/>
  <c r="AE124" i="2"/>
  <c r="AE126" i="2" s="1"/>
  <c r="O185" i="2"/>
  <c r="R307" i="2"/>
  <c r="R309" i="2" s="1"/>
  <c r="E246" i="2"/>
  <c r="AL185" i="2"/>
  <c r="AL187" i="2" s="1"/>
  <c r="T307" i="2"/>
  <c r="T309" i="2" s="1"/>
  <c r="I63" i="2"/>
  <c r="I65" i="2" s="1"/>
  <c r="AL246" i="2"/>
  <c r="AL248" i="2" s="1"/>
  <c r="X429" i="2"/>
  <c r="X431" i="2" s="1"/>
  <c r="X489" i="2" s="1"/>
  <c r="X511" i="2" s="1"/>
  <c r="L429" i="2"/>
  <c r="L431" i="2" s="1"/>
  <c r="L489" i="2" s="1"/>
  <c r="L511" i="2" s="1"/>
  <c r="AN246" i="2"/>
  <c r="AN248" i="2" s="1"/>
  <c r="F185" i="2"/>
  <c r="F187" i="2" s="1"/>
  <c r="R185" i="2"/>
  <c r="R187" i="2" s="1"/>
  <c r="I429" i="2"/>
  <c r="I431" i="2" s="1"/>
  <c r="I489" i="2" s="1"/>
  <c r="I511" i="2" s="1"/>
  <c r="AF246" i="2"/>
  <c r="AF248" i="2" s="1"/>
  <c r="AK246" i="2"/>
  <c r="AK248" i="2" s="1"/>
  <c r="AC124" i="2"/>
  <c r="AC126" i="2" s="1"/>
  <c r="N63" i="2"/>
  <c r="N65" i="2" s="1"/>
  <c r="D185" i="2"/>
  <c r="AP124" i="2"/>
  <c r="X307" i="2"/>
  <c r="X309" i="2" s="1"/>
  <c r="N307" i="2"/>
  <c r="N309" i="2" s="1"/>
  <c r="T368" i="2"/>
  <c r="T370" i="2" s="1"/>
  <c r="T486" i="2" s="1"/>
  <c r="T508" i="2" s="1"/>
  <c r="AR246" i="2"/>
  <c r="AR248" i="2" s="1"/>
  <c r="K185" i="2"/>
  <c r="K187" i="2" s="1"/>
  <c r="AD307" i="2"/>
  <c r="AD309" i="2" s="1"/>
  <c r="F368" i="2"/>
  <c r="F370" i="2" s="1"/>
  <c r="F486" i="2" s="1"/>
  <c r="F508" i="2" s="1"/>
  <c r="AI307" i="2"/>
  <c r="AI309" i="2" s="1"/>
  <c r="W246" i="2"/>
  <c r="W248" i="2" s="1"/>
  <c r="BB185" i="2"/>
  <c r="AP63" i="2"/>
  <c r="AP65" i="2" s="1"/>
  <c r="T185" i="2"/>
  <c r="T187" i="2" s="1"/>
  <c r="E307" i="2"/>
  <c r="T429" i="2"/>
  <c r="T431" i="2" s="1"/>
  <c r="T489" i="2" s="1"/>
  <c r="T511" i="2" s="1"/>
  <c r="U429" i="2"/>
  <c r="U431" i="2" s="1"/>
  <c r="U489" i="2" s="1"/>
  <c r="U511" i="2" s="1"/>
  <c r="AN124" i="2"/>
  <c r="AN126" i="2" s="1"/>
  <c r="U246" i="2"/>
  <c r="U248" i="2" s="1"/>
  <c r="N124" i="2"/>
  <c r="N126" i="2" s="1"/>
  <c r="AK185" i="2"/>
  <c r="AK187" i="2" s="1"/>
  <c r="AA246" i="2"/>
  <c r="AA248" i="2" s="1"/>
  <c r="AI246" i="2"/>
  <c r="AI248" i="2" s="1"/>
  <c r="J307" i="2"/>
  <c r="J309" i="2" s="1"/>
  <c r="AQ307" i="2"/>
  <c r="AQ309" i="2" s="1"/>
  <c r="AA63" i="2"/>
  <c r="AA65" i="2" s="1"/>
  <c r="T124" i="2"/>
  <c r="T126" i="2" s="1"/>
  <c r="BC63" i="2"/>
  <c r="J124" i="2"/>
  <c r="J126" i="2" s="1"/>
  <c r="D12" i="46"/>
  <c r="E12" i="46" s="1"/>
  <c r="N368" i="2"/>
  <c r="N370" i="2" s="1"/>
  <c r="N486" i="2" s="1"/>
  <c r="N508" i="2" s="1"/>
  <c r="AN63" i="2"/>
  <c r="AN65" i="2" s="1"/>
  <c r="K63" i="1"/>
  <c r="AM185" i="2"/>
  <c r="AM187" i="2" s="1"/>
  <c r="N185" i="2"/>
  <c r="N187" i="2" s="1"/>
  <c r="AG185" i="2"/>
  <c r="AG187" i="2" s="1"/>
  <c r="AA124" i="2"/>
  <c r="AA126" i="2" s="1"/>
  <c r="O246" i="2"/>
  <c r="D429" i="2"/>
  <c r="D431" i="2" s="1"/>
  <c r="D489" i="2" s="1"/>
  <c r="D511" i="2" s="1"/>
  <c r="AH185" i="2"/>
  <c r="AH187" i="2" s="1"/>
  <c r="P429" i="2"/>
  <c r="P431" i="2" s="1"/>
  <c r="P489" i="2" s="1"/>
  <c r="P511" i="2" s="1"/>
  <c r="Z63" i="2"/>
  <c r="Z65" i="2" s="1"/>
  <c r="K63" i="2"/>
  <c r="K65" i="2" s="1"/>
  <c r="S63" i="2"/>
  <c r="S65" i="2" s="1"/>
  <c r="F124" i="2"/>
  <c r="F126" i="2" s="1"/>
  <c r="AI185" i="2"/>
  <c r="AI187" i="2" s="1"/>
  <c r="T63" i="2"/>
  <c r="T65" i="2" s="1"/>
  <c r="X63" i="2"/>
  <c r="X65" i="2" s="1"/>
  <c r="AR63" i="2"/>
  <c r="AD185" i="2"/>
  <c r="AD187" i="2" s="1"/>
  <c r="AP185" i="2"/>
  <c r="AP187" i="2" s="1"/>
  <c r="BB63" i="2"/>
  <c r="K429" i="2"/>
  <c r="K431" i="2" s="1"/>
  <c r="K489" i="2" s="1"/>
  <c r="K511" i="2" s="1"/>
  <c r="S124" i="2"/>
  <c r="S126" i="2" s="1"/>
  <c r="M246" i="2"/>
  <c r="M248" i="2" s="1"/>
  <c r="Z124" i="2"/>
  <c r="Z126" i="2" s="1"/>
  <c r="M124" i="2"/>
  <c r="M126" i="2" s="1"/>
  <c r="W307" i="2"/>
  <c r="W309" i="2" s="1"/>
  <c r="J63" i="2"/>
  <c r="J65" i="2" s="1"/>
  <c r="S307" i="2"/>
  <c r="S309" i="2" s="1"/>
  <c r="I307" i="2"/>
  <c r="AH429" i="2"/>
  <c r="AH431" i="2" s="1"/>
  <c r="AH489" i="2" s="1"/>
  <c r="AH511" i="2" s="1"/>
  <c r="AQ124" i="2"/>
  <c r="AQ126" i="2" s="1"/>
  <c r="G368" i="2"/>
  <c r="G370" i="2" s="1"/>
  <c r="G486" i="2" s="1"/>
  <c r="G508" i="2" s="1"/>
  <c r="H429" i="2"/>
  <c r="H431" i="2" s="1"/>
  <c r="H489" i="2" s="1"/>
  <c r="H511" i="2" s="1"/>
  <c r="X368" i="2"/>
  <c r="X370" i="2" s="1"/>
  <c r="X486" i="2" s="1"/>
  <c r="X508" i="2" s="1"/>
  <c r="AQ63" i="2"/>
  <c r="AQ65" i="2" s="1"/>
  <c r="P124" i="2"/>
  <c r="P126" i="2" s="1"/>
  <c r="Q185" i="2"/>
  <c r="Q187" i="2" s="1"/>
  <c r="Z246" i="2"/>
  <c r="H124" i="2"/>
  <c r="H126" i="2" s="1"/>
  <c r="H368" i="2"/>
  <c r="H370" i="2" s="1"/>
  <c r="H486" i="2" s="1"/>
  <c r="H508" i="2" s="1"/>
  <c r="AH124" i="2"/>
  <c r="AH126" i="2" s="1"/>
  <c r="AJ246" i="2"/>
  <c r="AJ248" i="2" s="1"/>
  <c r="U307" i="2"/>
  <c r="U309" i="2" s="1"/>
  <c r="H307" i="2"/>
  <c r="H309" i="2" s="1"/>
  <c r="X246" i="2"/>
  <c r="X248" i="2" s="1"/>
  <c r="J185" i="2"/>
  <c r="J187" i="2" s="1"/>
  <c r="AE246" i="2"/>
  <c r="AE248" i="2" s="1"/>
  <c r="AJ185" i="2"/>
  <c r="AJ187" i="2" s="1"/>
  <c r="AI368" i="2"/>
  <c r="AI370" i="2" s="1"/>
  <c r="AI486" i="2" s="1"/>
  <c r="AI508" i="2" s="1"/>
  <c r="S429" i="2"/>
  <c r="S431" i="2" s="1"/>
  <c r="S489" i="2" s="1"/>
  <c r="S511" i="2" s="1"/>
  <c r="AB63" i="2"/>
  <c r="AB124" i="2"/>
  <c r="AB126" i="2" s="1"/>
  <c r="R429" i="2"/>
  <c r="R431" i="2" s="1"/>
  <c r="R489" i="2" s="1"/>
  <c r="R511" i="2" s="1"/>
  <c r="J246" i="2"/>
  <c r="J248" i="2" s="1"/>
  <c r="AB368" i="2"/>
  <c r="AB370" i="2" s="1"/>
  <c r="AB486" i="2" s="1"/>
  <c r="AB508" i="2" s="1"/>
  <c r="F429" i="2"/>
  <c r="F431" i="2" s="1"/>
  <c r="F489" i="2" s="1"/>
  <c r="F511" i="2" s="1"/>
  <c r="Y63" i="2"/>
  <c r="Y65" i="2" s="1"/>
  <c r="P246" i="2"/>
  <c r="P248" i="2" s="1"/>
  <c r="Z185" i="2"/>
  <c r="Z187" i="2" s="1"/>
  <c r="AF185" i="2"/>
  <c r="AF187" i="2" s="1"/>
  <c r="V124" i="2"/>
  <c r="V126" i="2" s="1"/>
  <c r="E56" i="55"/>
  <c r="AK43" i="2"/>
  <c r="AK45" i="2" s="1"/>
  <c r="AK47" i="2" s="1"/>
  <c r="L81" i="48"/>
  <c r="F51" i="55"/>
  <c r="F56" i="55" s="1"/>
  <c r="UB38" i="44"/>
  <c r="AK70" i="58" s="1"/>
  <c r="C86" i="14"/>
  <c r="C91" i="14" s="1"/>
  <c r="F10" i="55"/>
  <c r="AO29" i="44"/>
  <c r="F11" i="55"/>
  <c r="D86" i="14"/>
  <c r="D91" i="14" s="1"/>
  <c r="V63" i="44"/>
  <c r="E16" i="55"/>
  <c r="E86" i="14"/>
  <c r="E91" i="14" s="1"/>
  <c r="F12" i="55"/>
  <c r="AQ29" i="44"/>
  <c r="AQ30" i="44" s="1"/>
  <c r="G69" i="44"/>
  <c r="O142" i="53"/>
  <c r="J177" i="53" s="1"/>
  <c r="O151" i="53"/>
  <c r="L177" i="53" s="1"/>
  <c r="O131" i="53"/>
  <c r="O129" i="53"/>
  <c r="BP40" i="45"/>
  <c r="BP44" i="45" s="1"/>
  <c r="BN44" i="45"/>
  <c r="I69" i="44"/>
  <c r="AP29" i="44"/>
  <c r="K70" i="44"/>
  <c r="AN29" i="44"/>
  <c r="F42" i="2"/>
  <c r="E69" i="44"/>
  <c r="BH49" i="45"/>
  <c r="M69" i="44"/>
  <c r="BI46" i="45"/>
  <c r="BI48" i="45"/>
  <c r="W63" i="44"/>
  <c r="F9" i="55"/>
  <c r="E14" i="55"/>
  <c r="B86" i="14"/>
  <c r="K71" i="44" l="1"/>
  <c r="E226" i="58"/>
  <c r="BC372" i="58"/>
  <c r="AS63" i="58"/>
  <c r="AS65" i="58" s="1"/>
  <c r="AR65" i="58"/>
  <c r="AS124" i="58"/>
  <c r="AS126" i="58" s="1"/>
  <c r="AR126" i="58"/>
  <c r="AS185" i="58"/>
  <c r="AS187" i="58" s="1"/>
  <c r="AR187" i="58"/>
  <c r="AP104" i="2"/>
  <c r="AP106" i="2" s="1"/>
  <c r="AP108" i="2" s="1"/>
  <c r="AP472" i="2" s="1"/>
  <c r="AP494" i="2" s="1"/>
  <c r="AP104" i="58"/>
  <c r="AP106" i="58" s="1"/>
  <c r="AP108" i="58" s="1"/>
  <c r="AK65" i="58"/>
  <c r="BC433" i="58"/>
  <c r="AR126" i="2"/>
  <c r="AS124" i="2"/>
  <c r="AS126" i="2" s="1"/>
  <c r="AS474" i="2" s="1"/>
  <c r="AS496" i="2" s="1"/>
  <c r="AR187" i="2"/>
  <c r="AS185" i="2"/>
  <c r="AS187" i="2" s="1"/>
  <c r="AS477" i="2" s="1"/>
  <c r="AS499" i="2" s="1"/>
  <c r="AR65" i="2"/>
  <c r="C44" i="57" s="1"/>
  <c r="AS63" i="2"/>
  <c r="AS65" i="2" s="1"/>
  <c r="AS471" i="2" s="1"/>
  <c r="AS493" i="2" s="1"/>
  <c r="PC53" i="44"/>
  <c r="D20" i="6"/>
  <c r="C37" i="56"/>
  <c r="G37" i="56" s="1"/>
  <c r="BJ46" i="45"/>
  <c r="BJ49" i="45" s="1"/>
  <c r="M84" i="48"/>
  <c r="L84" i="48"/>
  <c r="BL46" i="45"/>
  <c r="BL49" i="45" s="1"/>
  <c r="AB70" i="2"/>
  <c r="C28" i="56"/>
  <c r="G28" i="56" s="1"/>
  <c r="AB469" i="2"/>
  <c r="AB491" i="2" s="1"/>
  <c r="AB64" i="2"/>
  <c r="AB65" i="2" s="1"/>
  <c r="E14" i="57"/>
  <c r="N477" i="2"/>
  <c r="N499" i="2" s="1"/>
  <c r="AP471" i="2"/>
  <c r="AP493" i="2" s="1"/>
  <c r="C42" i="57"/>
  <c r="F38" i="57"/>
  <c r="AL480" i="2"/>
  <c r="AL502" i="2" s="1"/>
  <c r="C30" i="57"/>
  <c r="AD471" i="2"/>
  <c r="AD493" i="2" s="1"/>
  <c r="F42" i="57"/>
  <c r="AP480" i="2"/>
  <c r="AP502" i="2" s="1"/>
  <c r="S480" i="2"/>
  <c r="S502" i="2" s="1"/>
  <c r="F19" i="57"/>
  <c r="H11" i="57"/>
  <c r="K483" i="2"/>
  <c r="K505" i="2" s="1"/>
  <c r="H22" i="57"/>
  <c r="V483" i="2"/>
  <c r="V505" i="2" s="1"/>
  <c r="Y471" i="2"/>
  <c r="Y493" i="2" s="1"/>
  <c r="C25" i="57"/>
  <c r="E17" i="57"/>
  <c r="Q477" i="2"/>
  <c r="Q499" i="2" s="1"/>
  <c r="J474" i="2"/>
  <c r="J496" i="2" s="1"/>
  <c r="D10" i="57"/>
  <c r="C9" i="57"/>
  <c r="I471" i="2"/>
  <c r="I493" i="2" s="1"/>
  <c r="AE477" i="2"/>
  <c r="AE499" i="2" s="1"/>
  <c r="E31" i="57"/>
  <c r="AO471" i="2"/>
  <c r="AO493" i="2" s="1"/>
  <c r="C41" i="57"/>
  <c r="AH480" i="2"/>
  <c r="AH502" i="2" s="1"/>
  <c r="F34" i="57"/>
  <c r="E39" i="57"/>
  <c r="AM477" i="2"/>
  <c r="AM499" i="2" s="1"/>
  <c r="H38" i="57"/>
  <c r="AL483" i="2"/>
  <c r="AL505" i="2" s="1"/>
  <c r="E29" i="57"/>
  <c r="AC477" i="2"/>
  <c r="AC499" i="2" s="1"/>
  <c r="E30" i="57"/>
  <c r="AD477" i="2"/>
  <c r="AD499" i="2" s="1"/>
  <c r="C18" i="57"/>
  <c r="R471" i="2"/>
  <c r="R493" i="2" s="1"/>
  <c r="E11" i="57"/>
  <c r="K477" i="2"/>
  <c r="K499" i="2" s="1"/>
  <c r="P483" i="2"/>
  <c r="P505" i="2" s="1"/>
  <c r="H16" i="57"/>
  <c r="C29" i="57"/>
  <c r="AC471" i="2"/>
  <c r="AC493" i="2" s="1"/>
  <c r="J483" i="2"/>
  <c r="J505" i="2" s="1"/>
  <c r="H10" i="57"/>
  <c r="AR474" i="2"/>
  <c r="AR496" i="2" s="1"/>
  <c r="D44" i="57"/>
  <c r="H40" i="57"/>
  <c r="AN483" i="2"/>
  <c r="AN505" i="2" s="1"/>
  <c r="E13" i="57"/>
  <c r="M477" i="2"/>
  <c r="M499" i="2" s="1"/>
  <c r="I480" i="2"/>
  <c r="I502" i="2" s="1"/>
  <c r="F9" i="57"/>
  <c r="L63" i="1"/>
  <c r="M63" i="1" s="1"/>
  <c r="C63" i="17"/>
  <c r="F22" i="57"/>
  <c r="V480" i="2"/>
  <c r="V502" i="2" s="1"/>
  <c r="AA477" i="2"/>
  <c r="AA499" i="2" s="1"/>
  <c r="E27" i="57"/>
  <c r="W480" i="2"/>
  <c r="W502" i="2" s="1"/>
  <c r="F23" i="57"/>
  <c r="E25" i="57"/>
  <c r="Y477" i="2"/>
  <c r="Y499" i="2" s="1"/>
  <c r="F41" i="57"/>
  <c r="AO480" i="2"/>
  <c r="AO502" i="2" s="1"/>
  <c r="Y483" i="2"/>
  <c r="Y505" i="2" s="1"/>
  <c r="H25" i="57"/>
  <c r="X483" i="2"/>
  <c r="X505" i="2" s="1"/>
  <c r="H24" i="57"/>
  <c r="H28" i="57"/>
  <c r="AB483" i="2"/>
  <c r="AB505" i="2" s="1"/>
  <c r="E12" i="57"/>
  <c r="L477" i="2"/>
  <c r="L499" i="2" s="1"/>
  <c r="H477" i="2"/>
  <c r="H499" i="2" s="1"/>
  <c r="E8" i="57"/>
  <c r="D41" i="57"/>
  <c r="AO474" i="2"/>
  <c r="AO496" i="2" s="1"/>
  <c r="Q471" i="2"/>
  <c r="Q493" i="2" s="1"/>
  <c r="C17" i="57"/>
  <c r="E44" i="57"/>
  <c r="AR477" i="2"/>
  <c r="AR499" i="2" s="1"/>
  <c r="G480" i="2"/>
  <c r="G502" i="2" s="1"/>
  <c r="F7" i="57"/>
  <c r="S474" i="2"/>
  <c r="S496" i="2" s="1"/>
  <c r="D19" i="57"/>
  <c r="C65" i="1"/>
  <c r="D63" i="1"/>
  <c r="E63" i="1" s="1"/>
  <c r="F63" i="1" s="1"/>
  <c r="G63" i="1" s="1"/>
  <c r="H63" i="1" s="1"/>
  <c r="I63" i="1" s="1"/>
  <c r="D471" i="2"/>
  <c r="D493" i="2" s="1"/>
  <c r="C4" i="57"/>
  <c r="G4" i="57" s="1"/>
  <c r="E42" i="57"/>
  <c r="AP477" i="2"/>
  <c r="AP499" i="2" s="1"/>
  <c r="H471" i="2"/>
  <c r="H493" i="2" s="1"/>
  <c r="C8" i="57"/>
  <c r="N480" i="2"/>
  <c r="N502" i="2" s="1"/>
  <c r="F14" i="57"/>
  <c r="X477" i="2"/>
  <c r="X499" i="2" s="1"/>
  <c r="E24" i="57"/>
  <c r="H29" i="57"/>
  <c r="AC483" i="2"/>
  <c r="AC505" i="2" s="1"/>
  <c r="M471" i="2"/>
  <c r="M493" i="2" s="1"/>
  <c r="C13" i="57"/>
  <c r="AL474" i="2"/>
  <c r="AL496" i="2" s="1"/>
  <c r="D38" i="57"/>
  <c r="D36" i="57"/>
  <c r="AJ474" i="2"/>
  <c r="AJ496" i="2" s="1"/>
  <c r="K480" i="2"/>
  <c r="K502" i="2" s="1"/>
  <c r="F11" i="57"/>
  <c r="W474" i="2"/>
  <c r="W496" i="2" s="1"/>
  <c r="D23" i="57"/>
  <c r="AK483" i="2"/>
  <c r="AK505" i="2" s="1"/>
  <c r="H37" i="57"/>
  <c r="D22" i="57"/>
  <c r="V474" i="2"/>
  <c r="V496" i="2" s="1"/>
  <c r="W471" i="2"/>
  <c r="W493" i="2" s="1"/>
  <c r="C23" i="57"/>
  <c r="AN471" i="2"/>
  <c r="AN493" i="2" s="1"/>
  <c r="C40" i="57"/>
  <c r="E16" i="57"/>
  <c r="P477" i="2"/>
  <c r="P499" i="2" s="1"/>
  <c r="AQ471" i="2"/>
  <c r="AQ493" i="2" s="1"/>
  <c r="C43" i="57"/>
  <c r="D6" i="57"/>
  <c r="F474" i="2"/>
  <c r="F496" i="2" s="1"/>
  <c r="L480" i="2"/>
  <c r="L502" i="2" s="1"/>
  <c r="F12" i="57"/>
  <c r="C19" i="57"/>
  <c r="S471" i="2"/>
  <c r="S493" i="2" s="1"/>
  <c r="AQ474" i="2"/>
  <c r="AQ496" i="2" s="1"/>
  <c r="D43" i="57"/>
  <c r="H13" i="57"/>
  <c r="M483" i="2"/>
  <c r="M505" i="2" s="1"/>
  <c r="F6" i="57"/>
  <c r="F480" i="2"/>
  <c r="F502" i="2" s="1"/>
  <c r="D11" i="57"/>
  <c r="K474" i="2"/>
  <c r="K496" i="2" s="1"/>
  <c r="AK474" i="2"/>
  <c r="AK496" i="2" s="1"/>
  <c r="D37" i="57"/>
  <c r="AF474" i="2"/>
  <c r="AF496" i="2" s="1"/>
  <c r="D32" i="57"/>
  <c r="AJ480" i="2"/>
  <c r="AJ502" i="2" s="1"/>
  <c r="F36" i="57"/>
  <c r="I477" i="2"/>
  <c r="I499" i="2" s="1"/>
  <c r="E9" i="57"/>
  <c r="H35" i="57"/>
  <c r="AI483" i="2"/>
  <c r="AI505" i="2" s="1"/>
  <c r="E40" i="57"/>
  <c r="AN477" i="2"/>
  <c r="AN499" i="2" s="1"/>
  <c r="AE483" i="2"/>
  <c r="AE505" i="2" s="1"/>
  <c r="H31" i="57"/>
  <c r="H17" i="57"/>
  <c r="Q483" i="2"/>
  <c r="Q505" i="2" s="1"/>
  <c r="F35" i="57"/>
  <c r="AI480" i="2"/>
  <c r="AI502" i="2" s="1"/>
  <c r="AK64" i="2"/>
  <c r="AK65" i="2" s="1"/>
  <c r="C37" i="57" s="1"/>
  <c r="AK477" i="2"/>
  <c r="AK499" i="2" s="1"/>
  <c r="E37" i="57"/>
  <c r="AK469" i="2"/>
  <c r="AK491" i="2" s="1"/>
  <c r="AJ477" i="2"/>
  <c r="AJ499" i="2" s="1"/>
  <c r="E36" i="57"/>
  <c r="H19" i="57"/>
  <c r="S483" i="2"/>
  <c r="S505" i="2" s="1"/>
  <c r="AH477" i="2"/>
  <c r="AH499" i="2" s="1"/>
  <c r="E34" i="57"/>
  <c r="D14" i="57"/>
  <c r="N474" i="2"/>
  <c r="N496" i="2" s="1"/>
  <c r="C14" i="57"/>
  <c r="N471" i="2"/>
  <c r="N493" i="2" s="1"/>
  <c r="F25" i="57"/>
  <c r="Y480" i="2"/>
  <c r="Y502" i="2" s="1"/>
  <c r="H36" i="57"/>
  <c r="AJ483" i="2"/>
  <c r="AJ505" i="2" s="1"/>
  <c r="F33" i="57"/>
  <c r="AG480" i="2"/>
  <c r="AG502" i="2" s="1"/>
  <c r="U471" i="2"/>
  <c r="U493" i="2" s="1"/>
  <c r="C21" i="57"/>
  <c r="H27" i="57"/>
  <c r="AA483" i="2"/>
  <c r="AA505" i="2" s="1"/>
  <c r="AB477" i="2"/>
  <c r="AB499" i="2" s="1"/>
  <c r="E28" i="57"/>
  <c r="F13" i="57"/>
  <c r="M480" i="2"/>
  <c r="M502" i="2" s="1"/>
  <c r="AP483" i="2"/>
  <c r="AP505" i="2" s="1"/>
  <c r="H42" i="57"/>
  <c r="T477" i="2"/>
  <c r="T499" i="2" s="1"/>
  <c r="E20" i="57"/>
  <c r="F20" i="57"/>
  <c r="T480" i="2"/>
  <c r="T502" i="2" s="1"/>
  <c r="AH474" i="2"/>
  <c r="AH496" i="2" s="1"/>
  <c r="D34" i="57"/>
  <c r="F17" i="57"/>
  <c r="Q480" i="2"/>
  <c r="Q502" i="2" s="1"/>
  <c r="Z477" i="2"/>
  <c r="Z499" i="2" s="1"/>
  <c r="E26" i="57"/>
  <c r="D24" i="57"/>
  <c r="X474" i="2"/>
  <c r="X496" i="2" s="1"/>
  <c r="H30" i="57"/>
  <c r="AD483" i="2"/>
  <c r="AD505" i="2" s="1"/>
  <c r="AL477" i="2"/>
  <c r="AL499" i="2" s="1"/>
  <c r="E38" i="57"/>
  <c r="AI477" i="2"/>
  <c r="AI499" i="2" s="1"/>
  <c r="E35" i="57"/>
  <c r="G477" i="2"/>
  <c r="G499" i="2" s="1"/>
  <c r="E7" i="57"/>
  <c r="H43" i="57"/>
  <c r="AQ483" i="2"/>
  <c r="AQ505" i="2" s="1"/>
  <c r="C26" i="57"/>
  <c r="Z471" i="2"/>
  <c r="Z493" i="2" s="1"/>
  <c r="F31" i="57"/>
  <c r="AE480" i="2"/>
  <c r="AE502" i="2" s="1"/>
  <c r="C10" i="57"/>
  <c r="J471" i="2"/>
  <c r="J493" i="2" s="1"/>
  <c r="F21" i="57"/>
  <c r="U480" i="2"/>
  <c r="U502" i="2" s="1"/>
  <c r="D29" i="57"/>
  <c r="AC474" i="2"/>
  <c r="AC496" i="2" s="1"/>
  <c r="E23" i="57"/>
  <c r="W477" i="2"/>
  <c r="W499" i="2" s="1"/>
  <c r="H33" i="57"/>
  <c r="AG483" i="2"/>
  <c r="AG505" i="2" s="1"/>
  <c r="AI471" i="2"/>
  <c r="AI493" i="2" s="1"/>
  <c r="C35" i="57"/>
  <c r="E43" i="57"/>
  <c r="AQ477" i="2"/>
  <c r="AQ499" i="2" s="1"/>
  <c r="D25" i="57"/>
  <c r="Y474" i="2"/>
  <c r="Y496" i="2" s="1"/>
  <c r="S477" i="2"/>
  <c r="S499" i="2" s="1"/>
  <c r="E19" i="57"/>
  <c r="D21" i="57"/>
  <c r="U474" i="2"/>
  <c r="U496" i="2" s="1"/>
  <c r="X471" i="2"/>
  <c r="X493" i="2" s="1"/>
  <c r="C24" i="57"/>
  <c r="D39" i="57"/>
  <c r="AM474" i="2"/>
  <c r="AM496" i="2" s="1"/>
  <c r="D20" i="57"/>
  <c r="T474" i="2"/>
  <c r="T496" i="2" s="1"/>
  <c r="F10" i="57"/>
  <c r="J480" i="2"/>
  <c r="J502" i="2" s="1"/>
  <c r="H18" i="57"/>
  <c r="R483" i="2"/>
  <c r="R505" i="2" s="1"/>
  <c r="F30" i="57"/>
  <c r="AD480" i="2"/>
  <c r="AD502" i="2" s="1"/>
  <c r="AK70" i="2"/>
  <c r="C22" i="57"/>
  <c r="V471" i="2"/>
  <c r="V493" i="2" s="1"/>
  <c r="AA480" i="2"/>
  <c r="AA502" i="2" s="1"/>
  <c r="F27" i="57"/>
  <c r="J477" i="2"/>
  <c r="J499" i="2" s="1"/>
  <c r="E10" i="57"/>
  <c r="W483" i="2"/>
  <c r="W505" i="2" s="1"/>
  <c r="H23" i="57"/>
  <c r="D40" i="57"/>
  <c r="AN474" i="2"/>
  <c r="AN496" i="2" s="1"/>
  <c r="F37" i="57"/>
  <c r="AK480" i="2"/>
  <c r="AK502" i="2" s="1"/>
  <c r="F8" i="57"/>
  <c r="H480" i="2"/>
  <c r="H502" i="2" s="1"/>
  <c r="D33" i="57"/>
  <c r="AG474" i="2"/>
  <c r="AG496" i="2" s="1"/>
  <c r="F28" i="57"/>
  <c r="AB480" i="2"/>
  <c r="AB502" i="2" s="1"/>
  <c r="H41" i="57"/>
  <c r="AO483" i="2"/>
  <c r="AO505" i="2" s="1"/>
  <c r="P471" i="2"/>
  <c r="P493" i="2" s="1"/>
  <c r="C16" i="57"/>
  <c r="H21" i="57"/>
  <c r="U483" i="2"/>
  <c r="U505" i="2" s="1"/>
  <c r="C38" i="57"/>
  <c r="AL471" i="2"/>
  <c r="AL493" i="2" s="1"/>
  <c r="L483" i="2"/>
  <c r="L505" i="2" s="1"/>
  <c r="H12" i="57"/>
  <c r="H34" i="57"/>
  <c r="AH483" i="2"/>
  <c r="AH505" i="2" s="1"/>
  <c r="D16" i="57"/>
  <c r="P474" i="2"/>
  <c r="P496" i="2" s="1"/>
  <c r="T483" i="2"/>
  <c r="T505" i="2" s="1"/>
  <c r="H20" i="57"/>
  <c r="E21" i="57"/>
  <c r="U477" i="2"/>
  <c r="U499" i="2" s="1"/>
  <c r="C20" i="57"/>
  <c r="T471" i="2"/>
  <c r="T493" i="2" s="1"/>
  <c r="V477" i="2"/>
  <c r="V499" i="2" s="1"/>
  <c r="E22" i="57"/>
  <c r="L85" i="48"/>
  <c r="F44" i="57"/>
  <c r="AR480" i="2"/>
  <c r="AR502" i="2" s="1"/>
  <c r="H39" i="57"/>
  <c r="AM483" i="2"/>
  <c r="AM505" i="2" s="1"/>
  <c r="AE474" i="2"/>
  <c r="AE496" i="2" s="1"/>
  <c r="D31" i="57"/>
  <c r="D17" i="57"/>
  <c r="Q474" i="2"/>
  <c r="Q496" i="2" s="1"/>
  <c r="X480" i="2"/>
  <c r="X502" i="2" s="1"/>
  <c r="F24" i="57"/>
  <c r="M474" i="2"/>
  <c r="M496" i="2" s="1"/>
  <c r="D13" i="57"/>
  <c r="D27" i="57"/>
  <c r="AA474" i="2"/>
  <c r="AA496" i="2" s="1"/>
  <c r="F32" i="57"/>
  <c r="AF480" i="2"/>
  <c r="AF502" i="2" s="1"/>
  <c r="C12" i="57"/>
  <c r="L471" i="2"/>
  <c r="L493" i="2" s="1"/>
  <c r="L474" i="2"/>
  <c r="L496" i="2" s="1"/>
  <c r="D12" i="57"/>
  <c r="H7" i="57"/>
  <c r="G483" i="2"/>
  <c r="G505" i="2" s="1"/>
  <c r="AF483" i="2"/>
  <c r="AF505" i="2" s="1"/>
  <c r="H32" i="57"/>
  <c r="R477" i="2"/>
  <c r="R499" i="2" s="1"/>
  <c r="E18" i="57"/>
  <c r="AD474" i="2"/>
  <c r="AD496" i="2" s="1"/>
  <c r="D30" i="57"/>
  <c r="F477" i="2"/>
  <c r="F499" i="2" s="1"/>
  <c r="E6" i="57"/>
  <c r="F40" i="57"/>
  <c r="AN480" i="2"/>
  <c r="AN502" i="2" s="1"/>
  <c r="R474" i="2"/>
  <c r="R496" i="2" s="1"/>
  <c r="D18" i="57"/>
  <c r="E32" i="57"/>
  <c r="AF477" i="2"/>
  <c r="AF499" i="2" s="1"/>
  <c r="H474" i="2"/>
  <c r="H496" i="2" s="1"/>
  <c r="D8" i="57"/>
  <c r="P480" i="2"/>
  <c r="P502" i="2" s="1"/>
  <c r="F16" i="57"/>
  <c r="AQ480" i="2"/>
  <c r="AQ502" i="2" s="1"/>
  <c r="F43" i="57"/>
  <c r="AA471" i="2"/>
  <c r="AA493" i="2" s="1"/>
  <c r="C27" i="57"/>
  <c r="AM480" i="2"/>
  <c r="AM502" i="2" s="1"/>
  <c r="F39" i="57"/>
  <c r="I474" i="2"/>
  <c r="I496" i="2" s="1"/>
  <c r="D9" i="57"/>
  <c r="D28" i="57"/>
  <c r="AB474" i="2"/>
  <c r="AB496" i="2" s="1"/>
  <c r="H14" i="57"/>
  <c r="N483" i="2"/>
  <c r="N505" i="2" s="1"/>
  <c r="K471" i="2"/>
  <c r="K493" i="2" s="1"/>
  <c r="C11" i="57"/>
  <c r="H483" i="2"/>
  <c r="H505" i="2" s="1"/>
  <c r="H8" i="57"/>
  <c r="D26" i="57"/>
  <c r="Z474" i="2"/>
  <c r="Z496" i="2" s="1"/>
  <c r="AG477" i="2"/>
  <c r="AG499" i="2" s="1"/>
  <c r="E33" i="57"/>
  <c r="E41" i="57"/>
  <c r="AO477" i="2"/>
  <c r="AO499" i="2" s="1"/>
  <c r="F483" i="2"/>
  <c r="F505" i="2" s="1"/>
  <c r="H6" i="57"/>
  <c r="C39" i="57"/>
  <c r="AM471" i="2"/>
  <c r="AM493" i="2" s="1"/>
  <c r="D35" i="57"/>
  <c r="AI474" i="2"/>
  <c r="AI496" i="2" s="1"/>
  <c r="AC480" i="2"/>
  <c r="AC502" i="2" s="1"/>
  <c r="F29" i="57"/>
  <c r="F18" i="57"/>
  <c r="R480" i="2"/>
  <c r="R502" i="2" s="1"/>
  <c r="AP30" i="44"/>
  <c r="AR30" i="44"/>
  <c r="M85" i="48"/>
  <c r="L79" i="48"/>
  <c r="G43" i="2"/>
  <c r="BP48" i="45"/>
  <c r="BP46" i="45"/>
  <c r="E70" i="44"/>
  <c r="G104" i="2"/>
  <c r="W64" i="44"/>
  <c r="M70" i="44"/>
  <c r="E226" i="2"/>
  <c r="AN30" i="44"/>
  <c r="O138" i="53"/>
  <c r="H177" i="53"/>
  <c r="B87" i="14"/>
  <c r="B91" i="14" s="1"/>
  <c r="B82" i="14" s="1"/>
  <c r="B83" i="14" s="1"/>
  <c r="F16" i="55"/>
  <c r="F21" i="55" s="1"/>
  <c r="E21" i="55"/>
  <c r="I70" i="44"/>
  <c r="G70" i="44"/>
  <c r="E104" i="58" s="1"/>
  <c r="AO30" i="44"/>
  <c r="BI49" i="45"/>
  <c r="F14" i="55"/>
  <c r="BN48" i="45"/>
  <c r="BN46" i="45"/>
  <c r="V64" i="44"/>
  <c r="V65" i="44" s="1"/>
  <c r="M71" i="44" l="1"/>
  <c r="E287" i="58"/>
  <c r="AP131" i="2"/>
  <c r="AP131" i="58"/>
  <c r="F63" i="17"/>
  <c r="H63" i="17" s="1"/>
  <c r="T63" i="1"/>
  <c r="AR471" i="2"/>
  <c r="AR493" i="2" s="1"/>
  <c r="I71" i="44"/>
  <c r="E165" i="58"/>
  <c r="D42" i="56"/>
  <c r="G42" i="56" s="1"/>
  <c r="BB226" i="58"/>
  <c r="E228" i="58"/>
  <c r="E230" i="58" s="1"/>
  <c r="AP125" i="58"/>
  <c r="AP126" i="58" s="1"/>
  <c r="BB104" i="58"/>
  <c r="E106" i="58"/>
  <c r="E108" i="58" s="1"/>
  <c r="E71" i="44"/>
  <c r="E43" i="58"/>
  <c r="AP125" i="2"/>
  <c r="AP126" i="2" s="1"/>
  <c r="AP474" i="2" s="1"/>
  <c r="AP496" i="2" s="1"/>
  <c r="G45" i="2"/>
  <c r="G47" i="2" s="1"/>
  <c r="G70" i="2" s="1"/>
  <c r="G106" i="2"/>
  <c r="G108" i="2" s="1"/>
  <c r="D7" i="56" s="1"/>
  <c r="AK471" i="2"/>
  <c r="AK493" i="2" s="1"/>
  <c r="C28" i="57"/>
  <c r="G28" i="57" s="1"/>
  <c r="AB471" i="2"/>
  <c r="AB493" i="2" s="1"/>
  <c r="G38" i="57"/>
  <c r="G8" i="57"/>
  <c r="G37" i="57"/>
  <c r="G36" i="57"/>
  <c r="G25" i="57"/>
  <c r="G34" i="57"/>
  <c r="G11" i="57"/>
  <c r="G12" i="57"/>
  <c r="G22" i="57"/>
  <c r="G14" i="57"/>
  <c r="G16" i="57"/>
  <c r="G20" i="57"/>
  <c r="G19" i="57"/>
  <c r="G43" i="57"/>
  <c r="G13" i="57"/>
  <c r="G29" i="57"/>
  <c r="G30" i="57"/>
  <c r="G32" i="57"/>
  <c r="G17" i="57"/>
  <c r="G9" i="57"/>
  <c r="J63" i="1"/>
  <c r="U63" i="17"/>
  <c r="W63" i="17" s="1"/>
  <c r="G40" i="57"/>
  <c r="G21" i="57"/>
  <c r="G41" i="57"/>
  <c r="G31" i="57"/>
  <c r="G24" i="57"/>
  <c r="G23" i="57"/>
  <c r="G35" i="57"/>
  <c r="G33" i="57"/>
  <c r="G39" i="57"/>
  <c r="G27" i="57"/>
  <c r="G10" i="57"/>
  <c r="M63" i="17"/>
  <c r="E63" i="17"/>
  <c r="G18" i="57"/>
  <c r="G44" i="57"/>
  <c r="M79" i="48"/>
  <c r="L80" i="48"/>
  <c r="M80" i="48"/>
  <c r="BN49" i="45"/>
  <c r="I177" i="53"/>
  <c r="E165" i="2"/>
  <c r="W78" i="44"/>
  <c r="F43" i="58" s="1"/>
  <c r="F45" i="58" s="1"/>
  <c r="F47" i="58" s="1"/>
  <c r="O147" i="53"/>
  <c r="E228" i="2"/>
  <c r="E230" i="2" s="1"/>
  <c r="BP49" i="45"/>
  <c r="BO46" i="45"/>
  <c r="BO49" i="45" s="1"/>
  <c r="V78" i="44"/>
  <c r="C82" i="14"/>
  <c r="G71" i="44"/>
  <c r="E131" i="58" s="1"/>
  <c r="E104" i="2"/>
  <c r="E287" i="2"/>
  <c r="G64" i="2"/>
  <c r="G65" i="2" s="1"/>
  <c r="C7" i="56"/>
  <c r="G131" i="2"/>
  <c r="W65" i="44"/>
  <c r="F70" i="58" s="1"/>
  <c r="E43" i="2"/>
  <c r="E247" i="58" l="1"/>
  <c r="BB43" i="58"/>
  <c r="E45" i="58"/>
  <c r="E47" i="58" s="1"/>
  <c r="E70" i="58" s="1"/>
  <c r="E192" i="58"/>
  <c r="BB228" i="58"/>
  <c r="BB230" i="58" s="1"/>
  <c r="BB106" i="58"/>
  <c r="BB108" i="58" s="1"/>
  <c r="D42" i="57"/>
  <c r="G42" i="57" s="1"/>
  <c r="BB287" i="58"/>
  <c r="E289" i="58"/>
  <c r="E291" i="58" s="1"/>
  <c r="F64" i="58"/>
  <c r="F65" i="58" s="1"/>
  <c r="BB165" i="58"/>
  <c r="E167" i="58"/>
  <c r="E169" i="58" s="1"/>
  <c r="E253" i="58"/>
  <c r="E125" i="58"/>
  <c r="AP314" i="2"/>
  <c r="AP314" i="58"/>
  <c r="E314" i="58"/>
  <c r="G469" i="2"/>
  <c r="G491" i="2" s="1"/>
  <c r="G472" i="2"/>
  <c r="G494" i="2" s="1"/>
  <c r="G125" i="2"/>
  <c r="G126" i="2" s="1"/>
  <c r="D7" i="57" s="1"/>
  <c r="Q63" i="17"/>
  <c r="Q65" i="17" s="1"/>
  <c r="M65" i="17"/>
  <c r="G7" i="56"/>
  <c r="E247" i="2"/>
  <c r="E478" i="2"/>
  <c r="E500" i="2" s="1"/>
  <c r="F5" i="56"/>
  <c r="E253" i="2"/>
  <c r="F43" i="2"/>
  <c r="W79" i="44"/>
  <c r="V79" i="44"/>
  <c r="E167" i="2"/>
  <c r="E169" i="2" s="1"/>
  <c r="K177" i="53"/>
  <c r="E106" i="2"/>
  <c r="E108" i="2" s="1"/>
  <c r="G471" i="2"/>
  <c r="G493" i="2" s="1"/>
  <c r="C7" i="57"/>
  <c r="C83" i="14"/>
  <c r="D82" i="14"/>
  <c r="O156" i="53"/>
  <c r="E289" i="2"/>
  <c r="E291" i="2" s="1"/>
  <c r="E45" i="2"/>
  <c r="E47" i="2" s="1"/>
  <c r="E186" i="58" l="1"/>
  <c r="BB289" i="58"/>
  <c r="BB291" i="58" s="1"/>
  <c r="BB167" i="58"/>
  <c r="BB169" i="58" s="1"/>
  <c r="E64" i="58"/>
  <c r="BC43" i="58"/>
  <c r="BB45" i="58"/>
  <c r="BB47" i="58" s="1"/>
  <c r="BB247" i="58"/>
  <c r="BB248" i="58" s="1"/>
  <c r="E248" i="58"/>
  <c r="BB125" i="58"/>
  <c r="E126" i="58"/>
  <c r="E308" i="58"/>
  <c r="G474" i="2"/>
  <c r="G496" i="2" s="1"/>
  <c r="F45" i="2"/>
  <c r="F47" i="2" s="1"/>
  <c r="G7" i="57"/>
  <c r="E248" i="2"/>
  <c r="H5" i="56"/>
  <c r="E481" i="2"/>
  <c r="E503" i="2" s="1"/>
  <c r="E308" i="2"/>
  <c r="E314" i="2"/>
  <c r="E186" i="2"/>
  <c r="E475" i="2"/>
  <c r="E497" i="2" s="1"/>
  <c r="E5" i="56"/>
  <c r="E192" i="2"/>
  <c r="M177" i="53"/>
  <c r="E125" i="2"/>
  <c r="E472" i="2"/>
  <c r="E494" i="2" s="1"/>
  <c r="D5" i="56"/>
  <c r="E469" i="2"/>
  <c r="E491" i="2" s="1"/>
  <c r="E64" i="2"/>
  <c r="C5" i="56"/>
  <c r="E70" i="2"/>
  <c r="D83" i="14"/>
  <c r="E82" i="14"/>
  <c r="E131" i="2"/>
  <c r="D104" i="58" l="1"/>
  <c r="D106" i="58" s="1"/>
  <c r="D108" i="58" s="1"/>
  <c r="BC45" i="58"/>
  <c r="BC47" i="58" s="1"/>
  <c r="BC104" i="58"/>
  <c r="E65" i="58"/>
  <c r="BB64" i="58"/>
  <c r="BB65" i="58" s="1"/>
  <c r="BB186" i="58"/>
  <c r="E187" i="58"/>
  <c r="E309" i="58"/>
  <c r="BB308" i="58"/>
  <c r="BB309" i="58" s="1"/>
  <c r="BB126" i="58"/>
  <c r="F469" i="2"/>
  <c r="F491" i="2" s="1"/>
  <c r="F64" i="2"/>
  <c r="F65" i="2" s="1"/>
  <c r="F471" i="2" s="1"/>
  <c r="F493" i="2" s="1"/>
  <c r="C6" i="56"/>
  <c r="G6" i="56" s="1"/>
  <c r="F70" i="2"/>
  <c r="E187" i="2"/>
  <c r="E309" i="2"/>
  <c r="C6" i="57"/>
  <c r="G6" i="57" s="1"/>
  <c r="E83" i="14"/>
  <c r="F82" i="14"/>
  <c r="F83" i="14" s="1"/>
  <c r="E126" i="2"/>
  <c r="F5" i="57"/>
  <c r="E480" i="2"/>
  <c r="E502" i="2" s="1"/>
  <c r="E65" i="2"/>
  <c r="G5" i="56"/>
  <c r="BB187" i="58" l="1"/>
  <c r="BC51" i="58"/>
  <c r="BC64" i="58"/>
  <c r="BC65" i="58" s="1"/>
  <c r="D165" i="58"/>
  <c r="D167" i="58" s="1"/>
  <c r="D169" i="58" s="1"/>
  <c r="BE104" i="58"/>
  <c r="BC106" i="58"/>
  <c r="BC165" i="58"/>
  <c r="D125" i="58"/>
  <c r="D126" i="58" s="1"/>
  <c r="D112" i="58"/>
  <c r="E477" i="2"/>
  <c r="E499" i="2" s="1"/>
  <c r="E5" i="57"/>
  <c r="H5" i="57"/>
  <c r="E483" i="2"/>
  <c r="E505" i="2" s="1"/>
  <c r="E474" i="2"/>
  <c r="E496" i="2" s="1"/>
  <c r="D5" i="57"/>
  <c r="E471" i="2"/>
  <c r="E493" i="2" s="1"/>
  <c r="C5" i="57"/>
  <c r="BE106" i="58" l="1"/>
  <c r="BC108" i="58"/>
  <c r="D226" i="58"/>
  <c r="BC167" i="58"/>
  <c r="BC169" i="58" s="1"/>
  <c r="D173" i="58"/>
  <c r="D186" i="58"/>
  <c r="D187" i="58" s="1"/>
  <c r="G5" i="57"/>
  <c r="BC186" i="58" l="1"/>
  <c r="BC187" i="58" s="1"/>
  <c r="BC173" i="58"/>
  <c r="D228" i="58"/>
  <c r="D230" i="58" s="1"/>
  <c r="BC226" i="58"/>
  <c r="BC112" i="58"/>
  <c r="BC125" i="58"/>
  <c r="BC126" i="58" s="1"/>
  <c r="O220" i="2"/>
  <c r="O154" i="2"/>
  <c r="BB154" i="2" s="1"/>
  <c r="O276" i="2"/>
  <c r="BC128" i="58" l="1"/>
  <c r="D287" i="58"/>
  <c r="BC228" i="58"/>
  <c r="BC230" i="58" s="1"/>
  <c r="D234" i="58"/>
  <c r="D247" i="58"/>
  <c r="D248" i="58" s="1"/>
  <c r="BC189" i="58"/>
  <c r="GB26" i="44"/>
  <c r="GB29" i="44" s="1"/>
  <c r="GB31" i="44" s="1"/>
  <c r="GB32" i="44" s="1"/>
  <c r="GD24" i="44"/>
  <c r="GD20" i="44"/>
  <c r="H31" i="1"/>
  <c r="BC154" i="2"/>
  <c r="D215" i="2" s="1"/>
  <c r="GD19" i="44"/>
  <c r="O215" i="2"/>
  <c r="O217" i="2"/>
  <c r="O159" i="2"/>
  <c r="BB159" i="2" s="1"/>
  <c r="O216" i="2"/>
  <c r="O281" i="2"/>
  <c r="O95" i="2"/>
  <c r="BB95" i="2" s="1"/>
  <c r="BC247" i="58" l="1"/>
  <c r="BC248" i="58" s="1"/>
  <c r="BC234" i="58"/>
  <c r="D289" i="58"/>
  <c r="D291" i="58" s="1"/>
  <c r="BC287" i="58"/>
  <c r="BC289" i="58" s="1"/>
  <c r="BC291" i="58" s="1"/>
  <c r="O157" i="2"/>
  <c r="BB157" i="2" s="1"/>
  <c r="GF20" i="44"/>
  <c r="GH20" i="44" s="1"/>
  <c r="GJ20" i="44" s="1"/>
  <c r="GL20" i="44" s="1"/>
  <c r="GD18" i="44"/>
  <c r="O34" i="2"/>
  <c r="BB34" i="2" s="1"/>
  <c r="GD22" i="44"/>
  <c r="GF22" i="44" s="1"/>
  <c r="H34" i="1"/>
  <c r="O279" i="2"/>
  <c r="GF19" i="44"/>
  <c r="GH19" i="44" s="1"/>
  <c r="GJ19" i="44" s="1"/>
  <c r="O156" i="2"/>
  <c r="BB156" i="2" s="1"/>
  <c r="F33" i="1"/>
  <c r="O155" i="2"/>
  <c r="BB155" i="2" s="1"/>
  <c r="O94" i="2"/>
  <c r="BB94" i="2" s="1"/>
  <c r="O98" i="2"/>
  <c r="BB98" i="2" s="1"/>
  <c r="O33" i="2"/>
  <c r="BB33" i="2" s="1"/>
  <c r="GD21" i="44"/>
  <c r="O37" i="2"/>
  <c r="BB37" i="2" s="1"/>
  <c r="GD25" i="44"/>
  <c r="O278" i="2"/>
  <c r="H36" i="1"/>
  <c r="O96" i="2"/>
  <c r="BB96" i="2" s="1"/>
  <c r="L121" i="48"/>
  <c r="L155" i="48" s="1"/>
  <c r="NY17" i="44" s="1"/>
  <c r="O35" i="2"/>
  <c r="BB35" i="2" s="1"/>
  <c r="GD23" i="44"/>
  <c r="GF23" i="44" s="1"/>
  <c r="GH23" i="44" s="1"/>
  <c r="GJ23" i="44" s="1"/>
  <c r="O218" i="2"/>
  <c r="O277" i="2"/>
  <c r="I31" i="1"/>
  <c r="BC308" i="58" l="1"/>
  <c r="BC309" i="58" s="1"/>
  <c r="BC295" i="58"/>
  <c r="D308" i="58"/>
  <c r="D309" i="58" s="1"/>
  <c r="D295" i="58"/>
  <c r="BC250" i="58"/>
  <c r="GF18" i="44"/>
  <c r="GH18" i="44"/>
  <c r="GJ18" i="44" s="1"/>
  <c r="GL18" i="44" s="1"/>
  <c r="GF24" i="44"/>
  <c r="GH24" i="44" s="1"/>
  <c r="GJ24" i="44" s="1"/>
  <c r="GL24" i="44" s="1"/>
  <c r="GF25" i="44"/>
  <c r="GH25" i="44" s="1"/>
  <c r="GJ25" i="44" s="1"/>
  <c r="GF21" i="44"/>
  <c r="GH21" i="44" s="1"/>
  <c r="GJ21" i="44" s="1"/>
  <c r="GL19" i="44"/>
  <c r="Z215" i="2"/>
  <c r="BB215" i="2" s="1"/>
  <c r="NX17" i="44"/>
  <c r="NZ17" i="44" s="1"/>
  <c r="U31" i="17"/>
  <c r="W31" i="17" s="1"/>
  <c r="F34" i="1"/>
  <c r="BC37" i="2"/>
  <c r="D98" i="2" s="1"/>
  <c r="D36" i="1"/>
  <c r="BC34" i="2"/>
  <c r="D33" i="1"/>
  <c r="F32" i="1"/>
  <c r="H32" i="1"/>
  <c r="D32" i="1"/>
  <c r="BC33" i="2"/>
  <c r="D94" i="2" s="1"/>
  <c r="D34" i="1"/>
  <c r="BC35" i="2"/>
  <c r="D96" i="2" s="1"/>
  <c r="GL23" i="44"/>
  <c r="F36" i="1"/>
  <c r="H33" i="1"/>
  <c r="GH22" i="44"/>
  <c r="GJ22" i="44" s="1"/>
  <c r="GG26" i="44"/>
  <c r="GK26" i="44"/>
  <c r="GI26" i="44"/>
  <c r="GE26" i="44"/>
  <c r="BC311" i="58" l="1"/>
  <c r="GL25" i="44"/>
  <c r="L68" i="48"/>
  <c r="L67" i="48"/>
  <c r="L106" i="48" s="1"/>
  <c r="O153" i="2"/>
  <c r="BB153" i="2" s="1"/>
  <c r="BC94" i="2"/>
  <c r="BE94" i="2" s="1"/>
  <c r="M67" i="48"/>
  <c r="M106" i="48" s="1"/>
  <c r="M68" i="48"/>
  <c r="O275" i="2"/>
  <c r="BC96" i="2"/>
  <c r="E34" i="1"/>
  <c r="L65" i="48"/>
  <c r="L104" i="48" s="1"/>
  <c r="GL21" i="44"/>
  <c r="GL22" i="44"/>
  <c r="L66" i="48"/>
  <c r="L105" i="48" s="1"/>
  <c r="O214" i="2"/>
  <c r="BC98" i="2"/>
  <c r="E32" i="1"/>
  <c r="E33" i="1"/>
  <c r="O92" i="2"/>
  <c r="BC215" i="2"/>
  <c r="D276" i="2" s="1"/>
  <c r="J31" i="1"/>
  <c r="GC26" i="44"/>
  <c r="GD17" i="44"/>
  <c r="O31" i="2"/>
  <c r="D95" i="2"/>
  <c r="BC95" i="2"/>
  <c r="E36" i="1"/>
  <c r="BC155" i="2" l="1"/>
  <c r="D216" i="2" s="1"/>
  <c r="D155" i="2"/>
  <c r="M65" i="48"/>
  <c r="M104" i="48" s="1"/>
  <c r="L122" i="48"/>
  <c r="L156" i="48" s="1"/>
  <c r="NY18" i="44" s="1"/>
  <c r="M121" i="48"/>
  <c r="M155" i="48" s="1"/>
  <c r="OA17" i="44" s="1"/>
  <c r="Z276" i="2" s="1"/>
  <c r="BB276" i="2" s="1"/>
  <c r="M66" i="48"/>
  <c r="M105" i="48" s="1"/>
  <c r="D156" i="2"/>
  <c r="BE95" i="2"/>
  <c r="BC156" i="2"/>
  <c r="D217" i="2" s="1"/>
  <c r="G34" i="1"/>
  <c r="K31" i="1"/>
  <c r="BB31" i="2"/>
  <c r="BE98" i="2"/>
  <c r="D159" i="2"/>
  <c r="BC159" i="2"/>
  <c r="D220" i="2" s="1"/>
  <c r="GF17" i="44"/>
  <c r="GD26" i="44"/>
  <c r="BB92" i="2"/>
  <c r="G36" i="1"/>
  <c r="G33" i="1"/>
  <c r="BE96" i="2"/>
  <c r="D157" i="2"/>
  <c r="BC157" i="2"/>
  <c r="D218" i="2" s="1"/>
  <c r="H30" i="1"/>
  <c r="G32" i="1"/>
  <c r="OB17" i="44" l="1"/>
  <c r="Z216" i="2"/>
  <c r="BB216" i="2" s="1"/>
  <c r="J32" i="1" s="1"/>
  <c r="L124" i="48"/>
  <c r="L158" i="48" s="1"/>
  <c r="NY20" i="44" s="1"/>
  <c r="Z218" i="2" s="1"/>
  <c r="BB218" i="2" s="1"/>
  <c r="L123" i="48"/>
  <c r="L157" i="48" s="1"/>
  <c r="NY19" i="44" s="1"/>
  <c r="Z217" i="2" s="1"/>
  <c r="BB217" i="2" s="1"/>
  <c r="L126" i="48"/>
  <c r="I32" i="1"/>
  <c r="I36" i="1"/>
  <c r="GH17" i="44"/>
  <c r="GF26" i="44"/>
  <c r="BC31" i="2"/>
  <c r="D30" i="1"/>
  <c r="I34" i="1"/>
  <c r="C31" i="17"/>
  <c r="E31" i="17" s="1"/>
  <c r="L138" i="48"/>
  <c r="I33" i="1"/>
  <c r="F30" i="1"/>
  <c r="BC276" i="2"/>
  <c r="L31" i="1"/>
  <c r="BC216" i="2" l="1"/>
  <c r="D277" i="2" s="1"/>
  <c r="M31" i="1"/>
  <c r="U34" i="17"/>
  <c r="W34" i="17" s="1"/>
  <c r="NX20" i="44"/>
  <c r="J34" i="1"/>
  <c r="BC218" i="2"/>
  <c r="D279" i="2" s="1"/>
  <c r="BC92" i="2"/>
  <c r="D92" i="2"/>
  <c r="U33" i="17"/>
  <c r="NX19" i="44"/>
  <c r="U32" i="17"/>
  <c r="W32" i="17" s="1"/>
  <c r="NX18" i="44"/>
  <c r="K32" i="1"/>
  <c r="E30" i="1"/>
  <c r="O42" i="2"/>
  <c r="GD28" i="44"/>
  <c r="GC29" i="44"/>
  <c r="GJ17" i="44"/>
  <c r="GH26" i="44"/>
  <c r="U36" i="17"/>
  <c r="NX22" i="44"/>
  <c r="J33" i="1"/>
  <c r="BC217" i="2"/>
  <c r="D278" i="2" s="1"/>
  <c r="M122" i="48" l="1"/>
  <c r="M156" i="48" s="1"/>
  <c r="OA18" i="44" s="1"/>
  <c r="Z277" i="2" s="1"/>
  <c r="BB277" i="2" s="1"/>
  <c r="BC277" i="2" s="1"/>
  <c r="F31" i="17"/>
  <c r="H31" i="17" s="1"/>
  <c r="M123" i="48"/>
  <c r="M157" i="48" s="1"/>
  <c r="OA19" i="44" s="1"/>
  <c r="Z278" i="2" s="1"/>
  <c r="BB278" i="2" s="1"/>
  <c r="M138" i="48"/>
  <c r="M124" i="48"/>
  <c r="M158" i="48" s="1"/>
  <c r="OA20" i="44" s="1"/>
  <c r="K33" i="1"/>
  <c r="NZ18" i="44"/>
  <c r="L63" i="48"/>
  <c r="L102" i="48" s="1"/>
  <c r="GJ26" i="44"/>
  <c r="GL17" i="44"/>
  <c r="GC31" i="44"/>
  <c r="O43" i="2" s="1"/>
  <c r="BB43" i="2" s="1"/>
  <c r="NZ19" i="44"/>
  <c r="K34" i="1"/>
  <c r="D153" i="2"/>
  <c r="BE92" i="2"/>
  <c r="BC153" i="2"/>
  <c r="G30" i="1"/>
  <c r="GF28" i="44"/>
  <c r="GD29" i="44"/>
  <c r="GD31" i="44" s="1"/>
  <c r="GD32" i="44" s="1"/>
  <c r="NZ20" i="44"/>
  <c r="O164" i="2"/>
  <c r="GG29" i="44"/>
  <c r="BB42" i="2"/>
  <c r="C32" i="17"/>
  <c r="E32" i="17" s="1"/>
  <c r="L139" i="48"/>
  <c r="O103" i="2"/>
  <c r="GE29" i="44"/>
  <c r="L32" i="1" l="1"/>
  <c r="M32" i="1" s="1"/>
  <c r="GC32" i="44"/>
  <c r="N125" i="53"/>
  <c r="H182" i="53" s="1"/>
  <c r="OB19" i="44"/>
  <c r="L140" i="48"/>
  <c r="Z279" i="2"/>
  <c r="BB279" i="2" s="1"/>
  <c r="BC279" i="2" s="1"/>
  <c r="C33" i="17"/>
  <c r="OB20" i="44"/>
  <c r="D214" i="2"/>
  <c r="GE31" i="44"/>
  <c r="O104" i="2" s="1"/>
  <c r="BB104" i="2" s="1"/>
  <c r="F42" i="1" s="1"/>
  <c r="BB103" i="2"/>
  <c r="BC42" i="2"/>
  <c r="D41" i="1"/>
  <c r="BB45" i="2"/>
  <c r="BB47" i="2" s="1"/>
  <c r="BC43" i="2"/>
  <c r="D42" i="1"/>
  <c r="E42" i="1" s="1"/>
  <c r="GG31" i="44"/>
  <c r="O165" i="2" s="1"/>
  <c r="BB165" i="2" s="1"/>
  <c r="H42" i="1" s="1"/>
  <c r="GH28" i="44"/>
  <c r="GF29" i="44"/>
  <c r="GF31" i="44" s="1"/>
  <c r="GF32" i="44" s="1"/>
  <c r="BC278" i="2"/>
  <c r="L33" i="1"/>
  <c r="BB164" i="2"/>
  <c r="I30" i="1"/>
  <c r="L141" i="48"/>
  <c r="C34" i="17"/>
  <c r="E34" i="17" s="1"/>
  <c r="OB18" i="44"/>
  <c r="O45" i="2"/>
  <c r="O47" i="2" s="1"/>
  <c r="GL26" i="44"/>
  <c r="M63" i="48"/>
  <c r="M102" i="48" s="1"/>
  <c r="N138" i="53" l="1"/>
  <c r="N145" i="53" s="1"/>
  <c r="O106" i="2"/>
  <c r="O108" i="2" s="1"/>
  <c r="O472" i="2" s="1"/>
  <c r="O494" i="2" s="1"/>
  <c r="F32" i="17"/>
  <c r="H32" i="17" s="1"/>
  <c r="M139" i="48"/>
  <c r="O70" i="2"/>
  <c r="BB469" i="2"/>
  <c r="BB491" i="2" s="1"/>
  <c r="L34" i="1"/>
  <c r="O167" i="2"/>
  <c r="O169" i="2" s="1"/>
  <c r="O475" i="2" s="1"/>
  <c r="O497" i="2" s="1"/>
  <c r="GE32" i="44"/>
  <c r="O131" i="2" s="1"/>
  <c r="GG32" i="44"/>
  <c r="BC104" i="2"/>
  <c r="D104" i="2"/>
  <c r="I182" i="53"/>
  <c r="H183" i="53"/>
  <c r="H191" i="53" s="1"/>
  <c r="E41" i="1"/>
  <c r="D44" i="1"/>
  <c r="D45" i="1"/>
  <c r="D47" i="1" s="1"/>
  <c r="D103" i="2"/>
  <c r="BC45" i="2"/>
  <c r="BC47" i="2" s="1"/>
  <c r="C15" i="56"/>
  <c r="O469" i="2"/>
  <c r="O491" i="2" s="1"/>
  <c r="O64" i="2"/>
  <c r="GH29" i="44"/>
  <c r="GH31" i="44" s="1"/>
  <c r="GH32" i="44" s="1"/>
  <c r="U30" i="17"/>
  <c r="W30" i="17" s="1"/>
  <c r="NX16" i="44"/>
  <c r="F41" i="1"/>
  <c r="BC103" i="2"/>
  <c r="BC164" i="2" s="1"/>
  <c r="BB106" i="2"/>
  <c r="BB108" i="2" s="1"/>
  <c r="H41" i="1"/>
  <c r="BB167" i="2"/>
  <c r="BB169" i="2" s="1"/>
  <c r="BB475" i="2" s="1"/>
  <c r="BB497" i="2" s="1"/>
  <c r="M33" i="1"/>
  <c r="B25" i="14"/>
  <c r="B29" i="14" s="1"/>
  <c r="G42" i="1"/>
  <c r="L120" i="48"/>
  <c r="D15" i="56" l="1"/>
  <c r="P138" i="53"/>
  <c r="O125" i="2"/>
  <c r="O126" i="2" s="1"/>
  <c r="O186" i="2"/>
  <c r="O187" i="2" s="1"/>
  <c r="M34" i="1"/>
  <c r="E15" i="56"/>
  <c r="D62" i="1"/>
  <c r="D65" i="1" s="1"/>
  <c r="BB472" i="2"/>
  <c r="BB494" i="2" s="1"/>
  <c r="O192" i="2"/>
  <c r="O65" i="2"/>
  <c r="BB64" i="2"/>
  <c r="BB65" i="2" s="1"/>
  <c r="BB471" i="2" s="1"/>
  <c r="BB493" i="2" s="1"/>
  <c r="I183" i="53"/>
  <c r="L134" i="48"/>
  <c r="L154" i="48"/>
  <c r="H45" i="1"/>
  <c r="H47" i="1" s="1"/>
  <c r="H62" i="1" s="1"/>
  <c r="H65" i="1" s="1"/>
  <c r="H44" i="1"/>
  <c r="BC64" i="2"/>
  <c r="BC65" i="2" s="1"/>
  <c r="BC471" i="2" s="1"/>
  <c r="BC493" i="2" s="1"/>
  <c r="BC51" i="2"/>
  <c r="BC469" i="2"/>
  <c r="BC491" i="2" s="1"/>
  <c r="C45" i="56"/>
  <c r="D4" i="56" s="1"/>
  <c r="C25" i="14"/>
  <c r="C29" i="14" s="1"/>
  <c r="I42" i="1"/>
  <c r="G41" i="1"/>
  <c r="E45" i="1"/>
  <c r="E47" i="1" s="1"/>
  <c r="E44" i="1"/>
  <c r="NY23" i="44"/>
  <c r="D225" i="2"/>
  <c r="D164" i="2"/>
  <c r="BE103" i="2"/>
  <c r="BC106" i="2"/>
  <c r="D106" i="2"/>
  <c r="D108" i="2" s="1"/>
  <c r="M140" i="48"/>
  <c r="F33" i="17"/>
  <c r="O225" i="2"/>
  <c r="GI29" i="44"/>
  <c r="F45" i="1"/>
  <c r="F47" i="1" s="1"/>
  <c r="F44" i="1"/>
  <c r="GJ28" i="44"/>
  <c r="BC165" i="2"/>
  <c r="D226" i="2" s="1"/>
  <c r="D165" i="2"/>
  <c r="BE104" i="2"/>
  <c r="D132" i="58" l="1"/>
  <c r="BC71" i="58"/>
  <c r="D45" i="56"/>
  <c r="E4" i="56" s="1"/>
  <c r="E45" i="56" s="1"/>
  <c r="F4" i="56" s="1"/>
  <c r="BB186" i="2"/>
  <c r="BB125" i="2"/>
  <c r="F34" i="17"/>
  <c r="H34" i="17" s="1"/>
  <c r="M141" i="48"/>
  <c r="F62" i="1"/>
  <c r="F65" i="1" s="1"/>
  <c r="D167" i="2"/>
  <c r="D169" i="2" s="1"/>
  <c r="D173" i="2" s="1"/>
  <c r="E84" i="1"/>
  <c r="B24" i="14"/>
  <c r="B26" i="14" s="1"/>
  <c r="B28" i="14" s="1"/>
  <c r="B30" i="14" s="1"/>
  <c r="BC71" i="2"/>
  <c r="D132" i="2"/>
  <c r="E49" i="1"/>
  <c r="E62" i="1"/>
  <c r="E65" i="1" s="1"/>
  <c r="D25" i="14"/>
  <c r="D29" i="14" s="1"/>
  <c r="U42" i="17"/>
  <c r="I41" i="1"/>
  <c r="G45" i="1"/>
  <c r="G47" i="1" s="1"/>
  <c r="G44" i="1"/>
  <c r="D472" i="2"/>
  <c r="D494" i="2" s="1"/>
  <c r="D125" i="2"/>
  <c r="D126" i="2" s="1"/>
  <c r="D474" i="2" s="1"/>
  <c r="D496" i="2" s="1"/>
  <c r="D112" i="2"/>
  <c r="D228" i="2"/>
  <c r="D230" i="2" s="1"/>
  <c r="GL28" i="44"/>
  <c r="GL29" i="44" s="1"/>
  <c r="GL31" i="44" s="1"/>
  <c r="GL32" i="44" s="1"/>
  <c r="GJ29" i="44"/>
  <c r="GJ31" i="44" s="1"/>
  <c r="GJ32" i="44" s="1"/>
  <c r="BC167" i="2"/>
  <c r="BC169" i="2" s="1"/>
  <c r="D15" i="57"/>
  <c r="O474" i="2"/>
  <c r="O496" i="2" s="1"/>
  <c r="BB126" i="2"/>
  <c r="BB474" i="2" s="1"/>
  <c r="BB496" i="2" s="1"/>
  <c r="GI31" i="44"/>
  <c r="O226" i="2" s="1"/>
  <c r="O228" i="2" s="1"/>
  <c r="O230" i="2" s="1"/>
  <c r="Z225" i="2"/>
  <c r="BB225" i="2" s="1"/>
  <c r="C49" i="56"/>
  <c r="NY16" i="44"/>
  <c r="N141" i="53"/>
  <c r="E15" i="57"/>
  <c r="O477" i="2"/>
  <c r="O499" i="2" s="1"/>
  <c r="BB187" i="2"/>
  <c r="BB477" i="2" s="1"/>
  <c r="BB499" i="2" s="1"/>
  <c r="BC108" i="2"/>
  <c r="BE106" i="2"/>
  <c r="O286" i="2"/>
  <c r="GK29" i="44"/>
  <c r="O471" i="2"/>
  <c r="O493" i="2" s="1"/>
  <c r="C15" i="57"/>
  <c r="D193" i="58" l="1"/>
  <c r="BC132" i="58"/>
  <c r="D186" i="2"/>
  <c r="D187" i="2" s="1"/>
  <c r="D477" i="2" s="1"/>
  <c r="D499" i="2" s="1"/>
  <c r="D475" i="2"/>
  <c r="D497" i="2" s="1"/>
  <c r="GI32" i="44"/>
  <c r="O253" i="2" s="1"/>
  <c r="J41" i="1"/>
  <c r="K41" i="1" s="1"/>
  <c r="BC225" i="2"/>
  <c r="D286" i="2" s="1"/>
  <c r="C46" i="57"/>
  <c r="D4" i="57" s="1"/>
  <c r="D46" i="57" s="1"/>
  <c r="E4" i="57" s="1"/>
  <c r="E46" i="57" s="1"/>
  <c r="F4" i="57" s="1"/>
  <c r="BC132" i="2"/>
  <c r="C24" i="14"/>
  <c r="C26" i="14" s="1"/>
  <c r="C28" i="14" s="1"/>
  <c r="C30" i="14" s="1"/>
  <c r="G49" i="1"/>
  <c r="G62" i="1"/>
  <c r="G65" i="1" s="1"/>
  <c r="D193" i="2"/>
  <c r="N150" i="53"/>
  <c r="GK31" i="44"/>
  <c r="O287" i="2" s="1"/>
  <c r="O289" i="2" s="1"/>
  <c r="O291" i="2" s="1"/>
  <c r="N147" i="53"/>
  <c r="J182" i="53"/>
  <c r="F15" i="56"/>
  <c r="O247" i="2"/>
  <c r="O478" i="2"/>
  <c r="O500" i="2" s="1"/>
  <c r="BC112" i="2"/>
  <c r="G84" i="1"/>
  <c r="BC472" i="2"/>
  <c r="BC494" i="2" s="1"/>
  <c r="BC125" i="2"/>
  <c r="BC126" i="2" s="1"/>
  <c r="D49" i="56"/>
  <c r="U41" i="17"/>
  <c r="U44" i="17" s="1"/>
  <c r="U45" i="17" s="1"/>
  <c r="U47" i="17" s="1"/>
  <c r="U62" i="17" s="1"/>
  <c r="U65" i="17" s="1"/>
  <c r="U69" i="17" s="1"/>
  <c r="P139" i="53"/>
  <c r="NX23" i="44"/>
  <c r="I44" i="1"/>
  <c r="I45" i="1"/>
  <c r="I47" i="1" s="1"/>
  <c r="D478" i="2"/>
  <c r="D500" i="2" s="1"/>
  <c r="D247" i="2"/>
  <c r="D248" i="2" s="1"/>
  <c r="D480" i="2" s="1"/>
  <c r="D502" i="2" s="1"/>
  <c r="D234" i="2"/>
  <c r="NZ16" i="44"/>
  <c r="Z214" i="2"/>
  <c r="BC475" i="2"/>
  <c r="BC497" i="2" s="1"/>
  <c r="E49" i="56"/>
  <c r="BC186" i="2"/>
  <c r="BC187" i="2" s="1"/>
  <c r="BC173" i="2"/>
  <c r="I84" i="1" l="1"/>
  <c r="BC193" i="58"/>
  <c r="D254" i="58"/>
  <c r="GK32" i="44"/>
  <c r="O314" i="2" s="1"/>
  <c r="H15" i="56"/>
  <c r="O308" i="2"/>
  <c r="O481" i="2"/>
  <c r="O503" i="2" s="1"/>
  <c r="P140" i="53"/>
  <c r="I191" i="53"/>
  <c r="O248" i="2"/>
  <c r="NZ23" i="44"/>
  <c r="NX24" i="44"/>
  <c r="P148" i="53"/>
  <c r="C41" i="17"/>
  <c r="BC474" i="2"/>
  <c r="BC496" i="2" s="1"/>
  <c r="J183" i="53"/>
  <c r="J191" i="53" s="1"/>
  <c r="K182" i="53"/>
  <c r="BB214" i="2"/>
  <c r="G15" i="56"/>
  <c r="BC477" i="2"/>
  <c r="BC499" i="2" s="1"/>
  <c r="D254" i="2"/>
  <c r="BC193" i="2"/>
  <c r="I62" i="1"/>
  <c r="I65" i="1" s="1"/>
  <c r="U48" i="17"/>
  <c r="D24" i="14"/>
  <c r="D26" i="14" s="1"/>
  <c r="D28" i="14" s="1"/>
  <c r="D30" i="14" s="1"/>
  <c r="I49" i="1"/>
  <c r="N154" i="53"/>
  <c r="OA23" i="44" s="1"/>
  <c r="P147" i="53"/>
  <c r="N156" i="53" l="1"/>
  <c r="P156" i="53" s="1"/>
  <c r="L182" i="53"/>
  <c r="L183" i="53" s="1"/>
  <c r="L191" i="53" s="1"/>
  <c r="P149" i="53"/>
  <c r="NX26" i="44"/>
  <c r="O480" i="2"/>
  <c r="O502" i="2" s="1"/>
  <c r="F15" i="57"/>
  <c r="K183" i="53"/>
  <c r="K191" i="53" s="1"/>
  <c r="OB23" i="44"/>
  <c r="O309" i="2"/>
  <c r="Z286" i="2"/>
  <c r="BB286" i="2" s="1"/>
  <c r="V15" i="17"/>
  <c r="U72" i="17"/>
  <c r="J30" i="1"/>
  <c r="BC214" i="2"/>
  <c r="M182" i="53" l="1"/>
  <c r="M183" i="53" s="1"/>
  <c r="V19" i="17"/>
  <c r="W15" i="17"/>
  <c r="W19" i="17" s="1"/>
  <c r="G15" i="57"/>
  <c r="H15" i="57"/>
  <c r="O483" i="2"/>
  <c r="O505" i="2" s="1"/>
  <c r="D275" i="2"/>
  <c r="NX29" i="44"/>
  <c r="L41" i="1"/>
  <c r="M41" i="1" s="1"/>
  <c r="BC286" i="2"/>
  <c r="K30" i="1"/>
  <c r="E59" i="48"/>
  <c r="D59" i="48"/>
  <c r="M120" i="48" l="1"/>
  <c r="M154" i="48" s="1"/>
  <c r="F41" i="17"/>
  <c r="P157" i="53"/>
  <c r="NX30" i="44"/>
  <c r="NX31" i="44" s="1"/>
  <c r="C30" i="17"/>
  <c r="L137" i="48"/>
  <c r="V36" i="17"/>
  <c r="W36" i="17" s="1"/>
  <c r="V42" i="17"/>
  <c r="W42" i="17" s="1"/>
  <c r="V33" i="17"/>
  <c r="V41" i="17"/>
  <c r="W41" i="17" s="1"/>
  <c r="V44" i="17" l="1"/>
  <c r="V45" i="17" s="1"/>
  <c r="V47" i="17" s="1"/>
  <c r="W33" i="17"/>
  <c r="W44" i="17" s="1"/>
  <c r="W45" i="17" s="1"/>
  <c r="W47" i="17" s="1"/>
  <c r="E57" i="48"/>
  <c r="M108" i="48"/>
  <c r="M99" i="48"/>
  <c r="M191" i="53"/>
  <c r="P158" i="53"/>
  <c r="D57" i="48"/>
  <c r="L108" i="48"/>
  <c r="L99" i="48"/>
  <c r="E30" i="17"/>
  <c r="OA16" i="44"/>
  <c r="OB16" i="44" l="1"/>
  <c r="Z275" i="2"/>
  <c r="M116" i="48"/>
  <c r="M117" i="48" s="1"/>
  <c r="L160" i="48"/>
  <c r="L116" i="48"/>
  <c r="L117" i="48" s="1"/>
  <c r="V48" i="17"/>
  <c r="W62" i="17"/>
  <c r="W65" i="17" s="1"/>
  <c r="W69" i="17" s="1"/>
  <c r="NY22" i="44" l="1"/>
  <c r="L168" i="48"/>
  <c r="BB275" i="2"/>
  <c r="BC275" i="2" l="1"/>
  <c r="L30" i="1"/>
  <c r="Z220" i="2"/>
  <c r="NZ22" i="44"/>
  <c r="NY24" i="44"/>
  <c r="BB220" i="2" l="1"/>
  <c r="NY26" i="44"/>
  <c r="NZ24" i="44"/>
  <c r="M30" i="1"/>
  <c r="NZ26" i="44" l="1"/>
  <c r="NY29" i="44"/>
  <c r="M137" i="48"/>
  <c r="F30" i="17"/>
  <c r="J36" i="1"/>
  <c r="BC220" i="2"/>
  <c r="H30" i="17" l="1"/>
  <c r="NY30" i="44"/>
  <c r="D281" i="2"/>
  <c r="K36" i="1"/>
  <c r="NZ29" i="44"/>
  <c r="M126" i="48" l="1"/>
  <c r="M160" i="48" s="1"/>
  <c r="C36" i="17"/>
  <c r="L143" i="48"/>
  <c r="L151" i="48" s="1"/>
  <c r="L152" i="48" s="1"/>
  <c r="NZ30" i="44"/>
  <c r="NY31" i="44"/>
  <c r="Z226" i="2"/>
  <c r="M134" i="48" l="1"/>
  <c r="NZ31" i="44"/>
  <c r="OA22" i="44"/>
  <c r="M168" i="48"/>
  <c r="BB226" i="2"/>
  <c r="Z228" i="2"/>
  <c r="Z230" i="2" s="1"/>
  <c r="Z253" i="2" s="1"/>
  <c r="Z247" i="2" l="1"/>
  <c r="F26" i="56"/>
  <c r="Z478" i="2"/>
  <c r="Z500" i="2" s="1"/>
  <c r="BC226" i="2"/>
  <c r="J42" i="1"/>
  <c r="BB228" i="2"/>
  <c r="BB230" i="2" s="1"/>
  <c r="BB478" i="2" s="1"/>
  <c r="BB500" i="2" s="1"/>
  <c r="OB22" i="44"/>
  <c r="Z281" i="2"/>
  <c r="OA24" i="44"/>
  <c r="OB24" i="44" l="1"/>
  <c r="D287" i="2"/>
  <c r="D289" i="2" s="1"/>
  <c r="D291" i="2" s="1"/>
  <c r="BC228" i="2"/>
  <c r="BC230" i="2" s="1"/>
  <c r="G26" i="56"/>
  <c r="F45" i="56"/>
  <c r="K42" i="1"/>
  <c r="J45" i="1"/>
  <c r="J47" i="1" s="1"/>
  <c r="J62" i="1" s="1"/>
  <c r="J65" i="1" s="1"/>
  <c r="OA26" i="44"/>
  <c r="BB281" i="2"/>
  <c r="Z248" i="2"/>
  <c r="BB247" i="2"/>
  <c r="BB248" i="2" s="1"/>
  <c r="BB480" i="2" s="1"/>
  <c r="BB502" i="2" s="1"/>
  <c r="G45" i="56" l="1"/>
  <c r="F49" i="56"/>
  <c r="BC247" i="2"/>
  <c r="BC248" i="2" s="1"/>
  <c r="BC234" i="2"/>
  <c r="BC478" i="2"/>
  <c r="BC500" i="2" s="1"/>
  <c r="D295" i="2"/>
  <c r="D481" i="2"/>
  <c r="D503" i="2" s="1"/>
  <c r="D308" i="2"/>
  <c r="D309" i="2" s="1"/>
  <c r="D483" i="2" s="1"/>
  <c r="D505" i="2" s="1"/>
  <c r="C42" i="17"/>
  <c r="K44" i="1"/>
  <c r="K45" i="1"/>
  <c r="K47" i="1" s="1"/>
  <c r="F26" i="57"/>
  <c r="Z480" i="2"/>
  <c r="Z502" i="2" s="1"/>
  <c r="OA29" i="44"/>
  <c r="OB26" i="44"/>
  <c r="L36" i="1"/>
  <c r="BC281" i="2"/>
  <c r="BC254" i="58" l="1"/>
  <c r="D315" i="58"/>
  <c r="G49" i="56"/>
  <c r="H4" i="56"/>
  <c r="OA30" i="44"/>
  <c r="OA31" i="44" s="1"/>
  <c r="K84" i="1"/>
  <c r="K49" i="1"/>
  <c r="C17" i="6"/>
  <c r="K62" i="1"/>
  <c r="K65" i="1" s="1"/>
  <c r="BC254" i="2"/>
  <c r="D315" i="2"/>
  <c r="G26" i="57"/>
  <c r="F46" i="57"/>
  <c r="M36" i="1"/>
  <c r="BC480" i="2"/>
  <c r="BC502" i="2" s="1"/>
  <c r="OB29" i="44"/>
  <c r="C44" i="17"/>
  <c r="C45" i="17" s="1"/>
  <c r="C47" i="17" s="1"/>
  <c r="C62" i="17" s="1"/>
  <c r="C65" i="17" s="1"/>
  <c r="C69" i="17" s="1"/>
  <c r="G46" i="57" l="1"/>
  <c r="C72" i="17"/>
  <c r="K71" i="1"/>
  <c r="C101" i="1" s="1"/>
  <c r="D15" i="17"/>
  <c r="C18" i="6"/>
  <c r="C48" i="17"/>
  <c r="Z287" i="2"/>
  <c r="F36" i="17"/>
  <c r="M143" i="48"/>
  <c r="M151" i="48" s="1"/>
  <c r="M152" i="48" s="1"/>
  <c r="OB30" i="44"/>
  <c r="C21" i="6" l="1"/>
  <c r="N15" i="17"/>
  <c r="N19" i="17" s="1"/>
  <c r="D19" i="17"/>
  <c r="E15" i="17"/>
  <c r="Z289" i="2"/>
  <c r="Z291" i="2" s="1"/>
  <c r="K76" i="1"/>
  <c r="OB31" i="44"/>
  <c r="E19" i="17" l="1"/>
  <c r="C23" i="6"/>
  <c r="G53" i="57" s="1"/>
  <c r="D41" i="17"/>
  <c r="D42" i="17"/>
  <c r="D33" i="17"/>
  <c r="D36" i="17"/>
  <c r="C70" i="17"/>
  <c r="C43" i="6"/>
  <c r="Z481" i="2"/>
  <c r="Z503" i="2" s="1"/>
  <c r="Z308" i="2"/>
  <c r="H26" i="56"/>
  <c r="Z314" i="2"/>
  <c r="C44" i="6" l="1"/>
  <c r="N36" i="17"/>
  <c r="E36" i="17"/>
  <c r="N33" i="17"/>
  <c r="N44" i="17" s="1"/>
  <c r="N45" i="17" s="1"/>
  <c r="N47" i="17" s="1"/>
  <c r="D44" i="17"/>
  <c r="D45" i="17" s="1"/>
  <c r="D47" i="17" s="1"/>
  <c r="O48" i="17" s="1"/>
  <c r="E33" i="17"/>
  <c r="N42" i="17"/>
  <c r="O42" i="17" s="1"/>
  <c r="E42" i="17"/>
  <c r="N41" i="17"/>
  <c r="E41" i="17"/>
  <c r="Z309" i="2"/>
  <c r="E25" i="14" l="1"/>
  <c r="E29" i="14" s="1"/>
  <c r="E44" i="17"/>
  <c r="E45" i="17" s="1"/>
  <c r="Z483" i="2"/>
  <c r="Z505" i="2" s="1"/>
  <c r="H26" i="57"/>
  <c r="E4" i="17" l="1"/>
  <c r="E5" i="17" s="1"/>
  <c r="E6" i="17" s="1"/>
  <c r="E47" i="17"/>
  <c r="E62" i="17" l="1"/>
  <c r="E65" i="17" s="1"/>
  <c r="E69" i="17" s="1"/>
  <c r="E48" i="17"/>
  <c r="D48" i="17"/>
  <c r="E24" i="14"/>
  <c r="E26" i="14" s="1"/>
  <c r="E28" i="14" s="1"/>
  <c r="E30" i="14" s="1"/>
  <c r="E18" i="46" l="1"/>
  <c r="E20" i="46"/>
  <c r="D18" i="46"/>
  <c r="D20" i="46"/>
  <c r="E17" i="46" l="1"/>
  <c r="E19" i="46" s="1"/>
  <c r="E21" i="46" s="1"/>
  <c r="E22" i="46" s="1"/>
  <c r="E23" i="46" s="1"/>
  <c r="D17" i="46"/>
  <c r="D19" i="46" s="1"/>
  <c r="D21" i="46" s="1"/>
  <c r="D22" i="46" s="1"/>
  <c r="D23" i="46" s="1"/>
  <c r="D25" i="46" s="1"/>
  <c r="E25" i="46" l="1"/>
  <c r="C31" i="6" l="1"/>
  <c r="G47" i="57" l="1"/>
  <c r="G48" i="57" s="1"/>
  <c r="C116" i="1"/>
  <c r="K79" i="1"/>
  <c r="K81" i="1" s="1"/>
  <c r="C33" i="6"/>
  <c r="C45" i="6" l="1"/>
  <c r="G54" i="57"/>
  <c r="BC127" i="2"/>
  <c r="BC188" i="2" l="1"/>
  <c r="BC128" i="2"/>
  <c r="BC249" i="2" l="1"/>
  <c r="BC189" i="2"/>
  <c r="BC310" i="2" l="1"/>
  <c r="BC250" i="2"/>
  <c r="BC371" i="2" l="1"/>
  <c r="BC432" i="2" l="1"/>
  <c r="BC433" i="2" s="1"/>
  <c r="BC372" i="2"/>
  <c r="CY20" i="45" l="1"/>
  <c r="CZ26" i="45" l="1"/>
  <c r="AR283" i="2"/>
  <c r="BB283" i="2" s="1"/>
  <c r="L38" i="1" l="1"/>
  <c r="M38" i="1" s="1"/>
  <c r="BC283" i="2"/>
  <c r="F38" i="17" l="1"/>
  <c r="H38" i="17" s="1"/>
  <c r="CZ25" i="45"/>
  <c r="CZ27" i="45" s="1"/>
  <c r="CZ29" i="45" s="1"/>
  <c r="CZ31" i="45" s="1"/>
  <c r="AR282" i="2"/>
  <c r="BB282" i="2" s="1"/>
  <c r="CY19" i="45"/>
  <c r="AR299" i="2" s="1"/>
  <c r="BB299" i="2" s="1"/>
  <c r="CY29" i="45"/>
  <c r="CY18" i="45" l="1"/>
  <c r="AR298" i="2" s="1"/>
  <c r="L37" i="1"/>
  <c r="BC282" i="2"/>
  <c r="CY31" i="45"/>
  <c r="AR287" i="2"/>
  <c r="AR289" i="2" s="1"/>
  <c r="AR291" i="2" s="1"/>
  <c r="L52" i="1"/>
  <c r="BC299" i="2"/>
  <c r="AR481" i="2" l="1"/>
  <c r="AR503" i="2" s="1"/>
  <c r="H44" i="56"/>
  <c r="M52" i="1"/>
  <c r="F52" i="17" s="1"/>
  <c r="H52" i="17" s="1"/>
  <c r="M37" i="1"/>
  <c r="BB298" i="2"/>
  <c r="F37" i="17" l="1"/>
  <c r="L51" i="1"/>
  <c r="BC298" i="2"/>
  <c r="M51" i="1" l="1"/>
  <c r="H37" i="17"/>
  <c r="F51" i="17" l="1"/>
  <c r="H51" i="17" l="1"/>
  <c r="CY21" i="45" l="1"/>
  <c r="CZ22" i="45"/>
  <c r="CY22" i="45" l="1"/>
  <c r="AR301" i="2"/>
  <c r="BB301" i="2" l="1"/>
  <c r="AR304" i="2"/>
  <c r="AR293" i="2" l="1"/>
  <c r="AR308" i="2"/>
  <c r="AR309" i="2" s="1"/>
  <c r="L54" i="1"/>
  <c r="BC301" i="2"/>
  <c r="BC304" i="2" s="1"/>
  <c r="BB304" i="2"/>
  <c r="BB293" i="2" s="1"/>
  <c r="BB482" i="2" s="1"/>
  <c r="BB504" i="2" s="1"/>
  <c r="M54" i="1" l="1"/>
  <c r="L58" i="1"/>
  <c r="CG16" i="44" s="1"/>
  <c r="BC293" i="2"/>
  <c r="AR483" i="2"/>
  <c r="AR505" i="2" s="1"/>
  <c r="H44" i="57"/>
  <c r="N44" i="56"/>
  <c r="AR482" i="2"/>
  <c r="AR504" i="2" s="1"/>
  <c r="AR314" i="2"/>
  <c r="N45" i="56" l="1"/>
  <c r="CH16" i="44"/>
  <c r="BC482" i="2"/>
  <c r="BC504" i="2" s="1"/>
  <c r="F54" i="17"/>
  <c r="M58" i="1"/>
  <c r="N49" i="56" l="1"/>
  <c r="H54" i="17"/>
  <c r="H58" i="17" s="1"/>
  <c r="H1" i="17" s="1"/>
  <c r="H3" i="17" s="1"/>
  <c r="F58" i="17"/>
  <c r="F59" i="17" s="1"/>
  <c r="F8" i="14"/>
  <c r="F10" i="14" s="1"/>
  <c r="D12" i="6"/>
  <c r="BC316" i="2"/>
  <c r="M85" i="1"/>
  <c r="CH21" i="44"/>
  <c r="CG21" i="44" l="1"/>
  <c r="H59" i="17"/>
  <c r="D15" i="6"/>
  <c r="F12" i="14"/>
  <c r="F27" i="14"/>
  <c r="CG23" i="44" l="1"/>
  <c r="CH23" i="44" l="1"/>
  <c r="CG24" i="44"/>
  <c r="I287" i="2"/>
  <c r="F14" i="14" l="1"/>
  <c r="F16" i="14" s="1"/>
  <c r="I289" i="2"/>
  <c r="I291" i="2" s="1"/>
  <c r="BB287" i="2"/>
  <c r="CH24" i="44"/>
  <c r="L42" i="1" l="1"/>
  <c r="BC287" i="2"/>
  <c r="BC289" i="2" s="1"/>
  <c r="BC291" i="2" s="1"/>
  <c r="BB289" i="2"/>
  <c r="BB291" i="2" s="1"/>
  <c r="BB481" i="2" s="1"/>
  <c r="BB503" i="2" s="1"/>
  <c r="I314" i="2"/>
  <c r="H9" i="56"/>
  <c r="I308" i="2"/>
  <c r="I481" i="2"/>
  <c r="I503" i="2" s="1"/>
  <c r="H45" i="56" l="1"/>
  <c r="H49" i="56" s="1"/>
  <c r="I309" i="2"/>
  <c r="BB308" i="2"/>
  <c r="BB309" i="2" s="1"/>
  <c r="BB483" i="2" s="1"/>
  <c r="BB505" i="2" s="1"/>
  <c r="J46" i="57"/>
  <c r="J47" i="57" s="1"/>
  <c r="BC481" i="2"/>
  <c r="BC503" i="2" s="1"/>
  <c r="BC308" i="2"/>
  <c r="BC309" i="2" s="1"/>
  <c r="BC295" i="2"/>
  <c r="M42" i="1"/>
  <c r="T42" i="1" s="1"/>
  <c r="L44" i="1"/>
  <c r="L45" i="1"/>
  <c r="L47" i="1" s="1"/>
  <c r="L62" i="1" s="1"/>
  <c r="L65" i="1" s="1"/>
  <c r="F42" i="17" l="1"/>
  <c r="M44" i="1"/>
  <c r="T44" i="1" s="1"/>
  <c r="M45" i="1"/>
  <c r="BC483" i="2"/>
  <c r="BC505" i="2" s="1"/>
  <c r="BC311" i="2"/>
  <c r="H9" i="57"/>
  <c r="I483" i="2"/>
  <c r="I505" i="2" s="1"/>
  <c r="M47" i="1" l="1"/>
  <c r="T45" i="1"/>
  <c r="H45" i="57"/>
  <c r="D17" i="6"/>
  <c r="BC315" i="2"/>
  <c r="M49" i="1"/>
  <c r="T49" i="1" s="1"/>
  <c r="M84" i="1"/>
  <c r="F44" i="17"/>
  <c r="F45" i="17" s="1"/>
  <c r="F47" i="17" s="1"/>
  <c r="F62" i="17" s="1"/>
  <c r="F65" i="17" s="1"/>
  <c r="F69" i="17" s="1"/>
  <c r="T47" i="1" l="1"/>
  <c r="BC315" i="58"/>
  <c r="M62" i="1"/>
  <c r="M65" i="1"/>
  <c r="T65" i="1" s="1"/>
  <c r="T62" i="1"/>
  <c r="H46" i="57"/>
  <c r="H48" i="57" s="1"/>
  <c r="F48" i="17"/>
  <c r="G15" i="17"/>
  <c r="M71" i="1"/>
  <c r="E101" i="1" s="1"/>
  <c r="D18" i="6"/>
  <c r="F72" i="17" l="1"/>
  <c r="E115" i="1"/>
  <c r="E118" i="1" s="1"/>
  <c r="E104" i="1"/>
  <c r="T71" i="1"/>
  <c r="D21" i="6"/>
  <c r="R15" i="17"/>
  <c r="R19" i="17" s="1"/>
  <c r="H15" i="17"/>
  <c r="H19" i="17" s="1"/>
  <c r="G19" i="17"/>
  <c r="M76" i="1"/>
  <c r="T76" i="1" s="1"/>
  <c r="M81" i="1"/>
  <c r="T81" i="1" s="1"/>
  <c r="C115" i="1" l="1"/>
  <c r="C118" i="1" s="1"/>
  <c r="C104" i="1"/>
  <c r="G42" i="17"/>
  <c r="G33" i="17"/>
  <c r="G41" i="17"/>
  <c r="G36" i="17"/>
  <c r="D23" i="6"/>
  <c r="F70" i="17"/>
  <c r="D43" i="6"/>
  <c r="R36" i="17" l="1"/>
  <c r="H36" i="17"/>
  <c r="R41" i="17"/>
  <c r="H41" i="17"/>
  <c r="G44" i="17"/>
  <c r="G45" i="17" s="1"/>
  <c r="G47" i="17" s="1"/>
  <c r="S48" i="17" s="1"/>
  <c r="H33" i="17"/>
  <c r="R33" i="17"/>
  <c r="R44" i="17" s="1"/>
  <c r="R45" i="17" s="1"/>
  <c r="R47" i="17" s="1"/>
  <c r="R42" i="17"/>
  <c r="S42" i="17" s="1"/>
  <c r="H42" i="17"/>
  <c r="F25" i="14" s="1"/>
  <c r="F29" i="14" s="1"/>
  <c r="H53" i="57"/>
  <c r="D33" i="6"/>
  <c r="D44" i="6"/>
  <c r="H44" i="17" l="1"/>
  <c r="H45" i="17" s="1"/>
  <c r="H4" i="17" s="1"/>
  <c r="H5" i="17" s="1"/>
  <c r="H6" i="17" s="1"/>
  <c r="H54" i="57"/>
  <c r="D45" i="6"/>
  <c r="H47" i="17" l="1"/>
  <c r="H62" i="17" s="1"/>
  <c r="H65" i="17" s="1"/>
  <c r="H69" i="17" s="1"/>
  <c r="H48" i="17"/>
  <c r="G48" i="17" l="1"/>
  <c r="F24" i="14"/>
  <c r="F26" i="14" s="1"/>
  <c r="F28" i="14" s="1"/>
  <c r="F30" i="14" s="1"/>
  <c r="D95" i="55" l="1"/>
  <c r="D100" i="55" s="1"/>
  <c r="I94" i="48" s="1"/>
  <c r="E94" i="48" s="1"/>
  <c r="H95" i="55"/>
  <c r="C100" i="55"/>
  <c r="H94" i="48" s="1"/>
  <c r="D94" i="48" s="1"/>
  <c r="I167" i="53" l="1"/>
  <c r="K167" i="53" s="1"/>
  <c r="M167" i="53" s="1"/>
  <c r="D73" i="48" l="1"/>
  <c r="D74" i="48"/>
  <c r="D52" i="48" l="1"/>
  <c r="E74" i="48"/>
  <c r="E73" i="48"/>
  <c r="E52" i="48" l="1"/>
  <c r="H88" i="55" l="1"/>
  <c r="C93" i="55"/>
  <c r="H93" i="48" s="1"/>
  <c r="D93" i="48" s="1"/>
  <c r="D88" i="55"/>
  <c r="D93" i="55" s="1"/>
  <c r="I93" i="48" s="1"/>
  <c r="E93" i="48" s="1"/>
  <c r="D30" i="55" l="1"/>
  <c r="D35" i="55" s="1"/>
  <c r="I82" i="48" s="1"/>
  <c r="E82" i="48" s="1"/>
  <c r="C35" i="55"/>
  <c r="H82" i="48" s="1"/>
  <c r="D82" i="48" s="1"/>
  <c r="D37" i="55" l="1"/>
  <c r="D42" i="55" s="1"/>
  <c r="I83" i="48" s="1"/>
  <c r="C42" i="55"/>
  <c r="H83" i="48" s="1"/>
  <c r="D83" i="48" s="1"/>
  <c r="E83" i="48" l="1"/>
  <c r="D70" i="48" l="1"/>
  <c r="E70" i="48" l="1"/>
  <c r="L118" i="53" l="1"/>
  <c r="G190" i="53"/>
  <c r="D75" i="48"/>
  <c r="E75" i="48"/>
  <c r="D76" i="48" l="1"/>
  <c r="D102" i="55"/>
  <c r="D107" i="55" s="1"/>
  <c r="I95" i="48" s="1"/>
  <c r="E95" i="48" s="1"/>
  <c r="H102" i="55"/>
  <c r="C107" i="55"/>
  <c r="H95" i="48" s="1"/>
  <c r="D95" i="48" s="1"/>
  <c r="D116" i="55" l="1"/>
  <c r="D121" i="55" s="1"/>
  <c r="C121" i="55"/>
  <c r="H116" i="55"/>
  <c r="D56" i="48"/>
  <c r="D109" i="55"/>
  <c r="D114" i="55" s="1"/>
  <c r="I96" i="48" s="1"/>
  <c r="E96" i="48" s="1"/>
  <c r="C114" i="55"/>
  <c r="H96" i="48" s="1"/>
  <c r="D96" i="48" s="1"/>
  <c r="E76" i="48"/>
  <c r="H159" i="48"/>
  <c r="D54" i="48"/>
  <c r="D82" i="55"/>
  <c r="E56" i="48" l="1"/>
  <c r="H81" i="55"/>
  <c r="C86" i="55"/>
  <c r="H92" i="48" s="1"/>
  <c r="D92" i="48" s="1"/>
  <c r="D81" i="55"/>
  <c r="D86" i="55" s="1"/>
  <c r="I92" i="48" s="1"/>
  <c r="E92" i="48" s="1"/>
  <c r="H97" i="48"/>
  <c r="D97" i="48" s="1"/>
  <c r="C122" i="55"/>
  <c r="D122" i="55"/>
  <c r="I97" i="48"/>
  <c r="E97" i="48" s="1"/>
  <c r="E54" i="48"/>
  <c r="I159" i="48"/>
  <c r="E60" i="48"/>
  <c r="D60" i="48"/>
  <c r="D58" i="48"/>
  <c r="D50" i="48" l="1"/>
  <c r="D75" i="55"/>
  <c r="E58" i="48"/>
  <c r="E50" i="48" l="1"/>
  <c r="D68" i="55"/>
  <c r="D67" i="55" l="1"/>
  <c r="H67" i="55"/>
  <c r="D65" i="48" l="1"/>
  <c r="H104" i="48"/>
  <c r="D67" i="48"/>
  <c r="H106" i="48"/>
  <c r="D66" i="48"/>
  <c r="H103" i="48"/>
  <c r="D64" i="48"/>
  <c r="D68" i="48"/>
  <c r="H102" i="48"/>
  <c r="D63" i="48"/>
  <c r="E67" i="48" l="1"/>
  <c r="I106" i="48"/>
  <c r="E63" i="48"/>
  <c r="I102" i="48"/>
  <c r="I104" i="48"/>
  <c r="E65" i="48"/>
  <c r="E68" i="48"/>
  <c r="E64" i="48"/>
  <c r="I103" i="48"/>
  <c r="E66" i="48"/>
  <c r="H155" i="48"/>
  <c r="H156" i="48"/>
  <c r="H158" i="48" l="1"/>
  <c r="H154" i="48" l="1"/>
  <c r="H175" i="53" l="1"/>
  <c r="I175" i="53" s="1"/>
  <c r="J138" i="53"/>
  <c r="J145" i="53" l="1"/>
  <c r="J147" i="53" s="1"/>
  <c r="J154" i="53" l="1"/>
  <c r="J175" i="53"/>
  <c r="K175" i="53" s="1"/>
  <c r="L175" i="53" l="1"/>
  <c r="M175" i="53" s="1"/>
  <c r="J156" i="53"/>
  <c r="I158" i="48" l="1"/>
  <c r="I155" i="48" l="1"/>
  <c r="I156" i="48"/>
  <c r="D70" i="55" l="1"/>
  <c r="C79" i="55" l="1"/>
  <c r="H91" i="48" s="1"/>
  <c r="D91" i="48" s="1"/>
  <c r="H74" i="55"/>
  <c r="D74" i="55"/>
  <c r="D79" i="55" s="1"/>
  <c r="I91" i="48" s="1"/>
  <c r="E91" i="48" s="1"/>
  <c r="D69" i="55" l="1"/>
  <c r="D72" i="55" s="1"/>
  <c r="I90" i="48" s="1"/>
  <c r="C72" i="55"/>
  <c r="H90" i="48" s="1"/>
  <c r="D90" i="48" l="1"/>
  <c r="H108" i="48"/>
  <c r="H160" i="48" s="1"/>
  <c r="E90" i="48"/>
  <c r="I108" i="48"/>
  <c r="I160" i="48" l="1"/>
  <c r="D11" i="55" l="1"/>
  <c r="D12" i="55"/>
  <c r="D24" i="55"/>
  <c r="D10" i="55"/>
  <c r="D17" i="55"/>
  <c r="C49" i="55" l="1"/>
  <c r="H84" i="48" s="1"/>
  <c r="D84" i="48" s="1"/>
  <c r="D44" i="55"/>
  <c r="D49" i="55" s="1"/>
  <c r="I84" i="48" s="1"/>
  <c r="E84" i="48" s="1"/>
  <c r="C56" i="55"/>
  <c r="H85" i="48" s="1"/>
  <c r="D85" i="48" s="1"/>
  <c r="D51" i="55"/>
  <c r="D56" i="55" s="1"/>
  <c r="I85" i="48" s="1"/>
  <c r="E85" i="48" s="1"/>
  <c r="D58" i="55"/>
  <c r="D63" i="55" s="1"/>
  <c r="I86" i="48" s="1"/>
  <c r="E86" i="48" s="1"/>
  <c r="C63" i="55"/>
  <c r="H86" i="48" s="1"/>
  <c r="D86" i="48" s="1"/>
  <c r="D23" i="55"/>
  <c r="D28" i="55" s="1"/>
  <c r="I81" i="48" s="1"/>
  <c r="E81" i="48" s="1"/>
  <c r="C28" i="55"/>
  <c r="H81" i="48" s="1"/>
  <c r="D81" i="48" s="1"/>
  <c r="D9" i="55"/>
  <c r="D14" i="55" s="1"/>
  <c r="I79" i="48" s="1"/>
  <c r="C14" i="55"/>
  <c r="H79" i="48" s="1"/>
  <c r="I166" i="53" l="1"/>
  <c r="H176" i="53"/>
  <c r="K138" i="53"/>
  <c r="D79" i="48"/>
  <c r="H105" i="48"/>
  <c r="E79" i="48"/>
  <c r="I105" i="48"/>
  <c r="I116" i="48" s="1"/>
  <c r="C21" i="55"/>
  <c r="H80" i="48" s="1"/>
  <c r="D80" i="48" s="1"/>
  <c r="D16" i="55"/>
  <c r="D21" i="55" s="1"/>
  <c r="I80" i="48" s="1"/>
  <c r="E80" i="48" s="1"/>
  <c r="I99" i="48" l="1"/>
  <c r="E99" i="48"/>
  <c r="H116" i="48"/>
  <c r="H99" i="48"/>
  <c r="D99" i="48"/>
  <c r="L138" i="53"/>
  <c r="H188" i="53"/>
  <c r="H192" i="53" s="1"/>
  <c r="H190" i="53"/>
  <c r="I176" i="53"/>
  <c r="I188" i="53" s="1"/>
  <c r="H117" i="48" l="1"/>
  <c r="I117" i="48"/>
  <c r="I192" i="53" l="1"/>
  <c r="L140" i="53"/>
  <c r="I190" i="53"/>
  <c r="H134" i="48" l="1"/>
  <c r="H157" i="48"/>
  <c r="H168" i="48" s="1"/>
  <c r="I157" i="48" l="1"/>
  <c r="L166" i="53" l="1"/>
  <c r="L176" i="53" s="1"/>
  <c r="J166" i="53" l="1"/>
  <c r="K147" i="53"/>
  <c r="L188" i="53"/>
  <c r="L190" i="53"/>
  <c r="K156" i="53" l="1"/>
  <c r="L156" i="53" s="1"/>
  <c r="L147" i="53"/>
  <c r="J176" i="53"/>
  <c r="K166" i="53"/>
  <c r="L149" i="53" l="1"/>
  <c r="L192" i="53" s="1"/>
  <c r="M166" i="53"/>
  <c r="M176" i="53" s="1"/>
  <c r="M188" i="53" s="1"/>
  <c r="K176" i="53"/>
  <c r="K188" i="53" s="1"/>
  <c r="K192" i="53" s="1"/>
  <c r="J190" i="53"/>
  <c r="J188" i="53"/>
  <c r="J192" i="53" s="1"/>
  <c r="L158" i="53" l="1"/>
  <c r="M190" i="53"/>
  <c r="M192" i="53"/>
  <c r="K190" i="53"/>
  <c r="H151" i="48" l="1"/>
  <c r="H152" i="48" s="1"/>
  <c r="I134" i="48" l="1"/>
  <c r="I154" i="48"/>
  <c r="I168" i="48" s="1"/>
  <c r="I151" i="48" l="1"/>
  <c r="I152" i="48" s="1"/>
</calcChain>
</file>

<file path=xl/sharedStrings.xml><?xml version="1.0" encoding="utf-8"?>
<sst xmlns="http://schemas.openxmlformats.org/spreadsheetml/2006/main" count="7198" uniqueCount="1942">
  <si>
    <t>OPERATING REVENUES</t>
  </si>
  <si>
    <t>TOTAL PRODUCTION EXPENSES</t>
  </si>
  <si>
    <t>TOTAL OPERATING REV. DEDUCT.</t>
  </si>
  <si>
    <t>TOTAL OPERATING EXPENSES</t>
  </si>
  <si>
    <t>NET OPERATING INCOME</t>
  </si>
  <si>
    <t>TEST</t>
  </si>
  <si>
    <t>YEAR</t>
  </si>
  <si>
    <t>LINE</t>
  </si>
  <si>
    <t>DESCRIPTION</t>
  </si>
  <si>
    <t>RESTATING</t>
  </si>
  <si>
    <t>ADJUSTMENTS</t>
  </si>
  <si>
    <t>RESTATED</t>
  </si>
  <si>
    <t>ADJUSTED</t>
  </si>
  <si>
    <t>RESULTS OF</t>
  </si>
  <si>
    <t>PROFORMA</t>
  </si>
  <si>
    <t>OPERATIONS</t>
  </si>
  <si>
    <t>a</t>
  </si>
  <si>
    <t>b</t>
  </si>
  <si>
    <t>d</t>
  </si>
  <si>
    <t>f</t>
  </si>
  <si>
    <t>GROSS UTILITY PLANT IN SERVICE</t>
  </si>
  <si>
    <t>ACCUM DEPR AND AMORT</t>
  </si>
  <si>
    <t>TOTAL RATE BASE</t>
  </si>
  <si>
    <t>CONVERSION FACTOR</t>
  </si>
  <si>
    <t>DEFERRED DEBITS AND CREDITS</t>
  </si>
  <si>
    <t>DEFERRED TAXES</t>
  </si>
  <si>
    <t>ALLOWANCE FOR WORKING CAPITAL</t>
  </si>
  <si>
    <t>OTHER</t>
  </si>
  <si>
    <t>TRADITIONAL</t>
  </si>
  <si>
    <t>REQUESTED RATE OF RETURN</t>
  </si>
  <si>
    <t>ACTUAL RATE OF RETURN</t>
  </si>
  <si>
    <t>RESULTS</t>
  </si>
  <si>
    <t>START OF</t>
  </si>
  <si>
    <t>RATE YEAR 1</t>
  </si>
  <si>
    <t>h</t>
  </si>
  <si>
    <t>PROVISIONAL</t>
  </si>
  <si>
    <t>GAP YEAR</t>
  </si>
  <si>
    <t>RATE YEAR 2</t>
  </si>
  <si>
    <t>j</t>
  </si>
  <si>
    <t>RATE YEAR 3</t>
  </si>
  <si>
    <t>END OF</t>
  </si>
  <si>
    <t>REVENUE CHANGE BEFORE RIDERS</t>
  </si>
  <si>
    <t>CHANGES TO OTHER PRICE SCHEDULES</t>
  </si>
  <si>
    <t>NET REVENUE CHANGE</t>
  </si>
  <si>
    <t>OPERATING INCOME (DEFICIENCY) SURPLUS</t>
  </si>
  <si>
    <t>EOP</t>
  </si>
  <si>
    <t>AMA</t>
  </si>
  <si>
    <t>l</t>
  </si>
  <si>
    <t>SALES TO CUSTOMERS</t>
  </si>
  <si>
    <t>SALES FROM RESALE-FIRM/SPECIAL CONTRACT</t>
  </si>
  <si>
    <t>SALES TO OTHER UTILITIES</t>
  </si>
  <si>
    <t>OTHER OPERATING REVENUES</t>
  </si>
  <si>
    <t>OPERATING REVENUE DEDUCTIONS:</t>
  </si>
  <si>
    <t>POWER COSTS:</t>
  </si>
  <si>
    <t xml:space="preserve"> FUEL</t>
  </si>
  <si>
    <t xml:space="preserve"> PURCHASED AND INTERCHANGED</t>
  </si>
  <si>
    <t xml:space="preserve"> WHEELING</t>
  </si>
  <si>
    <t xml:space="preserve"> RESIDENTIAL EXCHANGE</t>
  </si>
  <si>
    <t>TOTAL OPERATING REVENUES</t>
  </si>
  <si>
    <t>OTHER POWER SUPPLY EXPENSES</t>
  </si>
  <si>
    <t>TRANSMISSION EXPENSE</t>
  </si>
  <si>
    <t>DISTRIBUTION EXPENSE</t>
  </si>
  <si>
    <t>CUSTOMER ACCTS EXPENSES</t>
  </si>
  <si>
    <t>CUSTOMER SERVICE EXPENSES</t>
  </si>
  <si>
    <t>CONSERVATION AMORTIZATION</t>
  </si>
  <si>
    <t>ADMIN &amp; GENERAL EXPENSE</t>
  </si>
  <si>
    <t>DEPRECIATION</t>
  </si>
  <si>
    <t>AMORTIZATION</t>
  </si>
  <si>
    <t>AMORTIZ OF PROPERTY GAIN/LOSS</t>
  </si>
  <si>
    <t>OTHER OPERATING EXPENSES</t>
  </si>
  <si>
    <t>TAXES OTHER THAN INCOME TAXES</t>
  </si>
  <si>
    <t>INCOME TAXES</t>
  </si>
  <si>
    <t>DEFERRED INCOME TAXES</t>
  </si>
  <si>
    <t xml:space="preserve">PUGET SOUND ENERGY </t>
  </si>
  <si>
    <t>ELECTRIC STATEMENT OF OPERATING INCOME</t>
  </si>
  <si>
    <t>AND ADJUSTMENTS</t>
  </si>
  <si>
    <t>COMMON</t>
  </si>
  <si>
    <t>TOTAL</t>
  </si>
  <si>
    <t>NO.</t>
  </si>
  <si>
    <t>RATE BASE</t>
  </si>
  <si>
    <t/>
  </si>
  <si>
    <t>COST</t>
  </si>
  <si>
    <t>e</t>
  </si>
  <si>
    <t>g</t>
  </si>
  <si>
    <t>i</t>
  </si>
  <si>
    <t>k</t>
  </si>
  <si>
    <t>m</t>
  </si>
  <si>
    <t>n</t>
  </si>
  <si>
    <t>o</t>
  </si>
  <si>
    <t>r</t>
  </si>
  <si>
    <t>s</t>
  </si>
  <si>
    <t>t</t>
  </si>
  <si>
    <t>u</t>
  </si>
  <si>
    <t>v</t>
  </si>
  <si>
    <t>x</t>
  </si>
  <si>
    <t>y</t>
  </si>
  <si>
    <t>z</t>
  </si>
  <si>
    <t>aa</t>
  </si>
  <si>
    <t>ab</t>
  </si>
  <si>
    <t>ac</t>
  </si>
  <si>
    <t>ad</t>
  </si>
  <si>
    <t>af</t>
  </si>
  <si>
    <t>ai</t>
  </si>
  <si>
    <t>aj</t>
  </si>
  <si>
    <t>ak</t>
  </si>
  <si>
    <t>al</t>
  </si>
  <si>
    <t>am</t>
  </si>
  <si>
    <t>an</t>
  </si>
  <si>
    <t>ao</t>
  </si>
  <si>
    <t>ap</t>
  </si>
  <si>
    <t>aq</t>
  </si>
  <si>
    <t>ar</t>
  </si>
  <si>
    <t>as</t>
  </si>
  <si>
    <t>at</t>
  </si>
  <si>
    <t>au</t>
  </si>
  <si>
    <t>ax</t>
  </si>
  <si>
    <t>ay</t>
  </si>
  <si>
    <t>az</t>
  </si>
  <si>
    <t>ba</t>
  </si>
  <si>
    <t>bb</t>
  </si>
  <si>
    <t>bc</t>
  </si>
  <si>
    <t>bd</t>
  </si>
  <si>
    <t>bf</t>
  </si>
  <si>
    <t>bg</t>
  </si>
  <si>
    <t xml:space="preserve">RATE BASE </t>
  </si>
  <si>
    <t>RATE OF RETURN</t>
  </si>
  <si>
    <t>RATE BASE:</t>
  </si>
  <si>
    <t xml:space="preserve">  DEFERRED DEBITS AND CREDITS</t>
  </si>
  <si>
    <t xml:space="preserve">  DEFERRED TAXES</t>
  </si>
  <si>
    <t xml:space="preserve">  ALLOWANCE FOR WORKING CAPITAL</t>
  </si>
  <si>
    <t xml:space="preserve">  OTHER</t>
  </si>
  <si>
    <t>NOI</t>
  </si>
  <si>
    <t>RATEBASE</t>
  </si>
  <si>
    <t>be</t>
  </si>
  <si>
    <t>c</t>
  </si>
  <si>
    <t>bh</t>
  </si>
  <si>
    <t>bi</t>
  </si>
  <si>
    <t>bj</t>
  </si>
  <si>
    <t>p</t>
  </si>
  <si>
    <t>q</t>
  </si>
  <si>
    <t>w</t>
  </si>
  <si>
    <t>bz</t>
  </si>
  <si>
    <t>by</t>
  </si>
  <si>
    <t>bv</t>
  </si>
  <si>
    <t>bu</t>
  </si>
  <si>
    <t>br</t>
  </si>
  <si>
    <t>bq</t>
  </si>
  <si>
    <t>bn</t>
  </si>
  <si>
    <t>bm</t>
  </si>
  <si>
    <t>ae</t>
  </si>
  <si>
    <t>TEMPERATURE NORMALIZATION</t>
  </si>
  <si>
    <t>FEDERAL INCOME TAX</t>
  </si>
  <si>
    <t>TAX BENEFIT OF INTEREST</t>
  </si>
  <si>
    <t>INJURIES &amp; DAMAGES</t>
  </si>
  <si>
    <t>BAD DEBTS</t>
  </si>
  <si>
    <t>INCENTIVE PAY</t>
  </si>
  <si>
    <t>D&amp;O INSURANCE</t>
  </si>
  <si>
    <t>RATE CASE EXPENSE</t>
  </si>
  <si>
    <t>PENSION PLAN</t>
  </si>
  <si>
    <t>PROPERTY AND LIAB INSURANCE</t>
  </si>
  <si>
    <t>WAGE INCREASE</t>
  </si>
  <si>
    <t>INVESTMENT PLAN</t>
  </si>
  <si>
    <t>AMA TO EOP RATE BASE</t>
  </si>
  <si>
    <t>POWER COSTS</t>
  </si>
  <si>
    <t>WILD HORSE SOLAR</t>
  </si>
  <si>
    <t>EMPLOYEE INSURANCE</t>
  </si>
  <si>
    <t>Adj No.</t>
  </si>
  <si>
    <t>Type</t>
  </si>
  <si>
    <t>Name</t>
  </si>
  <si>
    <t>Common</t>
  </si>
  <si>
    <t>Electric</t>
  </si>
  <si>
    <t>TOTAL RESTATING ADJUSTMENTS</t>
  </si>
  <si>
    <t>RESTATED RESULTS OF OPERATIONS</t>
  </si>
  <si>
    <t>GENERAL RATE INCREASE</t>
  </si>
  <si>
    <t>CAPITAL</t>
  </si>
  <si>
    <t>WEIGHTED</t>
  </si>
  <si>
    <t>STRUCTURE</t>
  </si>
  <si>
    <t>SHORT AND LONG TERM DEBT</t>
  </si>
  <si>
    <t>EQUITY</t>
  </si>
  <si>
    <t>ANNUAL FILING FEE</t>
  </si>
  <si>
    <t>OPERATING INCOME REQUIREMENT</t>
  </si>
  <si>
    <t>AFTER TAX SHORT TERM DEBT ( (LINE 1)* 79%)</t>
  </si>
  <si>
    <t>SUM OF TAXES OTHER</t>
  </si>
  <si>
    <t>PRO FORMA OPERATING INCOME</t>
  </si>
  <si>
    <t>OPERATING INCOME DEFICIENCY</t>
  </si>
  <si>
    <t>TOTAL AFTER TAX COST OF CAPITAL</t>
  </si>
  <si>
    <t>SURPLUS / (DEFICIENCY)</t>
  </si>
  <si>
    <t>REVENUE REQUIREMENT OR (SURPLUS)</t>
  </si>
  <si>
    <t>Rate Base</t>
  </si>
  <si>
    <t>Difference</t>
  </si>
  <si>
    <t>Check NOI to Detailed Summary</t>
  </si>
  <si>
    <t>Check Rate Base to Detailed Summary</t>
  </si>
  <si>
    <t>UE-__________</t>
  </si>
  <si>
    <t>N/A</t>
  </si>
  <si>
    <t>%'s</t>
  </si>
  <si>
    <t>INCREASE(DECREASE) FIT</t>
  </si>
  <si>
    <t>INJURIES &amp; DAMAGES ACCRUALS</t>
  </si>
  <si>
    <t>INCENTIVE / MERIT PAY:</t>
  </si>
  <si>
    <t>EXCISE TAXES</t>
  </si>
  <si>
    <t>D &amp; O INS. CHG  EXPENSE</t>
  </si>
  <si>
    <t>INTEREST EXPENSE AT MOST CURRENT INTEREST RATE</t>
  </si>
  <si>
    <t>EXPENSES TO BE NORMALIZED:</t>
  </si>
  <si>
    <t>QUALIFIED RETIREMENT FUND</t>
  </si>
  <si>
    <t>PROPERTY INSURANCE EXPENSE</t>
  </si>
  <si>
    <t>WAGES:</t>
  </si>
  <si>
    <t>NON-UNION (INC. EXECUTIVES)</t>
  </si>
  <si>
    <t>BENEFIT CONTRIBUTION:</t>
  </si>
  <si>
    <t>403 ELEC. DEPRECIATION EXPENSE</t>
  </si>
  <si>
    <t xml:space="preserve">AMORTIZATION OF NET DEFERRED GAIN </t>
  </si>
  <si>
    <t>RATEBASE (AMA) UTILITY PLANT RATEBASE</t>
  </si>
  <si>
    <t xml:space="preserve"> </t>
  </si>
  <si>
    <t>INJURIES &amp; DAMAGES PAYMENTS IN EXCESS OF ACCRUALS</t>
  </si>
  <si>
    <t>WUTC FILING FEE</t>
  </si>
  <si>
    <t>EXPENSES OF LAST 2 COMPLETED GRCS</t>
  </si>
  <si>
    <t>INCREASE(DECREASE) EXPENSE</t>
  </si>
  <si>
    <t>INVESTMENT PLAN APPLICABLE TO MANAGEMENT</t>
  </si>
  <si>
    <t>NON-UNION EMPLOYEES</t>
  </si>
  <si>
    <t>403 ELEC. PORTION OF COMMON</t>
  </si>
  <si>
    <t>UTILITY PLANT</t>
  </si>
  <si>
    <t>PLANT BALANCE</t>
  </si>
  <si>
    <t xml:space="preserve">INCREASE(DECREASE) NOI </t>
  </si>
  <si>
    <t>REMOVE PROPERTY TAX TRACKER - SCHEDULE 140</t>
  </si>
  <si>
    <t>INCREASE/(DECREASE) IN EXPENSE</t>
  </si>
  <si>
    <t>INCREASE (DECREASE) IN EXPENSE</t>
  </si>
  <si>
    <t>INCREASE (DECREASE) NOI</t>
  </si>
  <si>
    <t>UNION EMPLOYEES</t>
  </si>
  <si>
    <t>TOTAL INCREASE (DECREASE) OPERATING EXPENSE</t>
  </si>
  <si>
    <t>`</t>
  </si>
  <si>
    <t>INCREASE (DECREASE) OPERATING INCOME BEFORE INCOME TAXES</t>
  </si>
  <si>
    <t>TRANSMISSION</t>
  </si>
  <si>
    <t>INCREASE (DECREASE) FIT</t>
  </si>
  <si>
    <t>IBEW</t>
  </si>
  <si>
    <t>TOTAL INSURANCE COSTS</t>
  </si>
  <si>
    <t>404 ELEC. PORTION OF COMMON</t>
  </si>
  <si>
    <t>INCREASE (DECREASE) EXPENSE  (LINE 2)</t>
  </si>
  <si>
    <t>ACCUM DEPRECIATION</t>
  </si>
  <si>
    <t>WEIGHTED COST OF DEBT</t>
  </si>
  <si>
    <t>DISTRIBUTION</t>
  </si>
  <si>
    <t xml:space="preserve">INCREASE(DECREASE) OPERATING EXPENSE </t>
  </si>
  <si>
    <t>INCREASE (DECREASE) FIT @</t>
  </si>
  <si>
    <t>INVESTMENT PLAN APPLICABLE TO IBEW</t>
  </si>
  <si>
    <t>SUBTOTAL DEPRECIATION EXPENSE 403</t>
  </si>
  <si>
    <t xml:space="preserve">INCREASE (DECREASE) FIT @ 21% </t>
  </si>
  <si>
    <t>DEFERRED INCOME TAX LIABILITY</t>
  </si>
  <si>
    <t>TOTAL INCREASE (DECREASE) EXPENSE</t>
  </si>
  <si>
    <t>TOTAL UTILITY PLANT</t>
  </si>
  <si>
    <t>PROFORMA INTEREST</t>
  </si>
  <si>
    <t>REMOVE LOW INCOME AMORTIZATION - SCHEDULE 129</t>
  </si>
  <si>
    <t>CUSTOMER ACCTS</t>
  </si>
  <si>
    <t>INCREASE(DECREASE) FIT @</t>
  </si>
  <si>
    <t>APPLICABLE TO OPERATIONS @</t>
  </si>
  <si>
    <t>403.1 ELEC. ASSET RETIREMENT COST DEPRECIATION</t>
  </si>
  <si>
    <t>UNCOLLECTIBLES @</t>
  </si>
  <si>
    <t>CUSTOMER SERVICE</t>
  </si>
  <si>
    <t>INCREASE(DECREASE) NOI</t>
  </si>
  <si>
    <t>UA</t>
  </si>
  <si>
    <t>CHARGED TO EXPENSE</t>
  </si>
  <si>
    <t>411.10 ELEC. ASSET RETIREMENT OBLIGATION ACCRETION</t>
  </si>
  <si>
    <t>DEFERRALS</t>
  </si>
  <si>
    <t>INCREASE (DECREASE) OPERATING EXPENSE</t>
  </si>
  <si>
    <t>OPERATING EXPENSE</t>
  </si>
  <si>
    <t>NET RATEBASE</t>
  </si>
  <si>
    <t>ANNUAL FILING FEE @</t>
  </si>
  <si>
    <t xml:space="preserve">INCREASE (DECREASE) FIT @ </t>
  </si>
  <si>
    <t>SALES</t>
  </si>
  <si>
    <t>INVESTMENT PLAN APPLICABLE TO UA</t>
  </si>
  <si>
    <t>INCREASE (DECREASE ) EXPENSE</t>
  </si>
  <si>
    <t>TOTAL DEPRECIATION AND ACCRETION</t>
  </si>
  <si>
    <t>STATE UTILITY TAX @</t>
  </si>
  <si>
    <t>ADMIN. &amp; GENERAL</t>
  </si>
  <si>
    <t>INCREASE(DECREASE) FIT @ 21%</t>
  </si>
  <si>
    <t>DEPRECIATION DEFERRAL</t>
  </si>
  <si>
    <t xml:space="preserve">INCREASE (DECREASE) FIT </t>
  </si>
  <si>
    <t>ADJUSTMENTS TO SALES TO CUSTOMERS</t>
  </si>
  <si>
    <t>INCREASE (DECREASE) EXPENSE</t>
  </si>
  <si>
    <t>REMOVE DECOUPLING SCH 142 REVENUE</t>
  </si>
  <si>
    <t>TOTAL INCENTIVE / MERIT PAY</t>
  </si>
  <si>
    <t>TOTAL WAGE INCREASE</t>
  </si>
  <si>
    <t>REMOVE DECOUPLING SCH 142 SURCHARGE AMORT EXPENSE</t>
  </si>
  <si>
    <t>TOTAL PROFORMA COSTS</t>
  </si>
  <si>
    <t>PAYROLL TAXES ASSOCI WITH MERIT PAY</t>
  </si>
  <si>
    <t>PAYROLL TAXES</t>
  </si>
  <si>
    <t>TOTAL DEPRECIATION DEFERRALS</t>
  </si>
  <si>
    <t>INCREASE (DECREASE ) IN EXPENSE</t>
  </si>
  <si>
    <t>TOTAL WAGES &amp; TAXES</t>
  </si>
  <si>
    <t>COSTS APPLICABLE TO OPERATIONS</t>
  </si>
  <si>
    <t>DECREASE REVENUE SENSITIVE ITEMS FOR DECREASE IN REVENUES:</t>
  </si>
  <si>
    <t>DFIT</t>
  </si>
  <si>
    <t xml:space="preserve">TOTAL </t>
  </si>
  <si>
    <t>TOTAL ADJUSTMENT TO RATEBASE</t>
  </si>
  <si>
    <t>REMOVE EXPENSES ASSOCIATED WITH RIDERS</t>
  </si>
  <si>
    <t>REMOVE PROPERTY TAX AMORTIZATION EXP - SCHEDULE 140</t>
  </si>
  <si>
    <t xml:space="preserve">STATE UTILITY TAX </t>
  </si>
  <si>
    <t>INCREASE (DECREASE) OPERATING INCOME BEFORE FIT</t>
  </si>
  <si>
    <t>AMA OF REGULATORY ASSET/LIABILITY NET OF ACCUM AMORT AND DFIT</t>
  </si>
  <si>
    <t>TOTAL REGULATORY ASSETS</t>
  </si>
  <si>
    <t>AMORTIZATION OF REGULATORY ASSET/LIABILITY</t>
  </si>
  <si>
    <t>|------------  (Note 1)  ------------|</t>
  </si>
  <si>
    <t>TOTAL AMORTIZATION OF REG ASSETS/LIABS</t>
  </si>
  <si>
    <t>GREEN DIRECT</t>
  </si>
  <si>
    <t>Gas</t>
  </si>
  <si>
    <t>ag</t>
  </si>
  <si>
    <t>ah</t>
  </si>
  <si>
    <t>bk</t>
  </si>
  <si>
    <t>bl</t>
  </si>
  <si>
    <t>bo</t>
  </si>
  <si>
    <t>bp</t>
  </si>
  <si>
    <t>bs</t>
  </si>
  <si>
    <t>bt</t>
  </si>
  <si>
    <t>bw</t>
  </si>
  <si>
    <t>bx</t>
  </si>
  <si>
    <t>Company</t>
  </si>
  <si>
    <t>RateCase</t>
  </si>
  <si>
    <t>TestYear</t>
  </si>
  <si>
    <t>Docket</t>
  </si>
  <si>
    <t>ExhibitNo</t>
  </si>
  <si>
    <t>FIT</t>
  </si>
  <si>
    <t>Exhibit No.</t>
  </si>
  <si>
    <t>12 MOE DECEMBER 2025</t>
  </si>
  <si>
    <t>RateYear1</t>
  </si>
  <si>
    <t>RateYear2</t>
  </si>
  <si>
    <t>RateYear3</t>
  </si>
  <si>
    <t>404 ELEC. AMORTIZATION EXPENSE</t>
  </si>
  <si>
    <t>403.1 ELEC. PORTION OF COMMON</t>
  </si>
  <si>
    <t>ADJUSTMENT TO RATE BASE:</t>
  </si>
  <si>
    <t>Test Year</t>
  </si>
  <si>
    <t>ca</t>
  </si>
  <si>
    <t>cb</t>
  </si>
  <si>
    <t>cc</t>
  </si>
  <si>
    <t>cd</t>
  </si>
  <si>
    <t>ce</t>
  </si>
  <si>
    <t>cf</t>
  </si>
  <si>
    <t>cg</t>
  </si>
  <si>
    <t>ch</t>
  </si>
  <si>
    <t>ci</t>
  </si>
  <si>
    <t>cj</t>
  </si>
  <si>
    <t>ck</t>
  </si>
  <si>
    <t>cl</t>
  </si>
  <si>
    <t>cm</t>
  </si>
  <si>
    <t>cn</t>
  </si>
  <si>
    <t>AMA 2025</t>
  </si>
  <si>
    <t>AMA DEC 2025</t>
  </si>
  <si>
    <t>CUMULATIVE NET REVENUE CHANGE</t>
  </si>
  <si>
    <t>BEG OF RY 1 →</t>
  </si>
  <si>
    <t>BEG OF RY 2 →</t>
  </si>
  <si>
    <t>BEG OF RY 3 →</t>
  </si>
  <si>
    <t>check</t>
  </si>
  <si>
    <t>REMOVE REVENUES ASSOCIATED WITH RIDERS:</t>
  </si>
  <si>
    <t>REMOVE LOW INCOME RIDER - SCHEDULE 129</t>
  </si>
  <si>
    <t>TOTAL (INCREASE) DECREASE REVENUES</t>
  </si>
  <si>
    <t>TOTAL ADJUSTMENTS TO REVENUES</t>
  </si>
  <si>
    <t>Weighted Average Cost of Debt</t>
  </si>
  <si>
    <t>Regulated Interest</t>
  </si>
  <si>
    <t>Tax Rate</t>
  </si>
  <si>
    <t>Tax Benefit of Proforma Interest</t>
  </si>
  <si>
    <t>Check to Model</t>
  </si>
  <si>
    <t>Desription</t>
  </si>
  <si>
    <t>Agrees</t>
  </si>
  <si>
    <t>Effective Tax Rate</t>
  </si>
  <si>
    <t>Remove Tax Expense</t>
  </si>
  <si>
    <t>Pre-tax NOI</t>
  </si>
  <si>
    <t>Taxable NOI</t>
  </si>
  <si>
    <t>Tax</t>
  </si>
  <si>
    <t>Restated TY</t>
  </si>
  <si>
    <t>Per Model</t>
  </si>
  <si>
    <t>av</t>
  </si>
  <si>
    <t>aw</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</si>
  <si>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</si>
  <si>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</si>
  <si>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</si>
  <si>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</si>
  <si>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</si>
  <si>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</si>
  <si>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</si>
  <si>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</si>
  <si>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</si>
  <si>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</si>
  <si>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</si>
  <si>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</si>
  <si>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</si>
  <si>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</si>
  <si>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</si>
  <si>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</si>
  <si>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</si>
  <si>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</si>
  <si>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</si>
  <si>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</si>
  <si>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</si>
  <si>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</si>
  <si>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</si>
  <si>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</si>
  <si>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</si>
  <si>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</si>
  <si>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</si>
  <si>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</si>
  <si>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</si>
  <si>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</si>
  <si>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</si>
  <si>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</si>
  <si>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</si>
  <si>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</si>
  <si>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</si>
  <si>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</si>
  <si>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</si>
  <si>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</si>
  <si>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</si>
  <si>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</si>
  <si>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</si>
  <si>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</si>
  <si>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</si>
  <si>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</si>
  <si>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</si>
  <si>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</si>
  <si>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</si>
  <si>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</si>
  <si>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</si>
  <si>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</si>
  <si>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</si>
  <si>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</si>
  <si>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</si>
  <si>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</si>
  <si>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</si>
  <si>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</si>
  <si>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</si>
  <si>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</si>
  <si>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</si>
  <si>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ev</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</si>
  <si>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</si>
  <si>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</si>
  <si>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</si>
  <si>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</si>
  <si>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</si>
  <si>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</si>
  <si>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</si>
  <si>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</si>
  <si>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</si>
  <si>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</si>
  <si>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</si>
  <si>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</si>
  <si>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</si>
  <si>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</si>
  <si>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</si>
  <si>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</si>
  <si>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</si>
  <si>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</si>
  <si>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</si>
  <si>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</si>
  <si>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</si>
  <si>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</si>
  <si>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</si>
  <si>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</si>
  <si>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</si>
  <si>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</si>
  <si>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</si>
  <si>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</si>
  <si>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</si>
  <si>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</si>
  <si>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</si>
  <si>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</si>
  <si>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</si>
  <si>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</si>
  <si>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</si>
  <si>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</si>
  <si>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</si>
  <si>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</si>
  <si>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</si>
  <si>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</si>
  <si>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</si>
  <si>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</si>
  <si>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</si>
  <si>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</si>
  <si>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</si>
  <si>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</si>
  <si>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</si>
  <si>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</si>
  <si>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</si>
  <si>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</si>
  <si>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</si>
  <si>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</si>
  <si>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</si>
  <si>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</si>
  <si>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</si>
  <si>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</si>
  <si>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</si>
  <si>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</si>
  <si>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</si>
  <si>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</si>
  <si>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</si>
  <si>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</si>
  <si>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</si>
  <si>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</si>
  <si>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</si>
  <si>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</si>
  <si>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</si>
  <si>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</si>
  <si>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</si>
  <si>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</si>
  <si>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</si>
  <si>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</si>
  <si>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</si>
  <si>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</si>
  <si>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</si>
  <si>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</si>
  <si>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</si>
  <si>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</si>
  <si>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</si>
  <si>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</si>
  <si>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</si>
  <si>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</si>
  <si>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</si>
  <si>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</si>
  <si>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</si>
  <si>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</si>
  <si>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</si>
  <si>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</si>
  <si>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</si>
  <si>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</si>
  <si>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</si>
  <si>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</si>
  <si>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</si>
  <si>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</si>
  <si>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</si>
  <si>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</si>
  <si>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</si>
  <si>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</si>
  <si>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</si>
  <si>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</si>
  <si>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</si>
  <si>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</si>
  <si>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</si>
  <si>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</si>
  <si>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</si>
  <si>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</si>
  <si>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</si>
  <si>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</si>
  <si>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</si>
  <si>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</si>
  <si>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</si>
  <si>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</si>
  <si>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</si>
  <si>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</si>
  <si>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</si>
  <si>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</si>
  <si>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</si>
  <si>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</si>
  <si>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</si>
  <si>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</si>
  <si>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</si>
  <si>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</si>
  <si>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</si>
  <si>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</si>
  <si>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</si>
  <si>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</si>
  <si>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</si>
  <si>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</si>
  <si>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</si>
  <si>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</si>
  <si>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</si>
  <si>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</si>
  <si>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</si>
  <si>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</si>
  <si>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</si>
  <si>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</si>
  <si>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</si>
  <si>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</si>
  <si>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</si>
  <si>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</si>
  <si>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</si>
  <si>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</si>
  <si>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</si>
  <si>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</si>
  <si>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</si>
  <si>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</si>
  <si>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</si>
  <si>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</si>
  <si>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</si>
  <si>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</si>
  <si>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</si>
  <si>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</si>
  <si>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</si>
  <si>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</si>
  <si>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</si>
  <si>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</si>
  <si>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</si>
  <si>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</si>
  <si>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</si>
  <si>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</si>
  <si>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</si>
  <si>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lb</t>
  </si>
  <si>
    <t>lc</t>
  </si>
  <si>
    <t>ld</t>
  </si>
  <si>
    <t>le</t>
  </si>
  <si>
    <t>lf</t>
  </si>
  <si>
    <t>lg</t>
  </si>
  <si>
    <t>lh</t>
  </si>
  <si>
    <t>li</t>
  </si>
  <si>
    <t>lj</t>
  </si>
  <si>
    <t>lk</t>
  </si>
  <si>
    <t>ll</t>
  </si>
  <si>
    <t>lm</t>
  </si>
  <si>
    <t>ln</t>
  </si>
  <si>
    <t>lo</t>
  </si>
  <si>
    <t>lp</t>
  </si>
  <si>
    <t>lq</t>
  </si>
  <si>
    <t>lr</t>
  </si>
  <si>
    <t>ls</t>
  </si>
  <si>
    <t>lt</t>
  </si>
  <si>
    <t>lu</t>
  </si>
  <si>
    <t>lv</t>
  </si>
  <si>
    <t>lw</t>
  </si>
  <si>
    <t>lx</t>
  </si>
  <si>
    <t>ly</t>
  </si>
  <si>
    <t>lz</t>
  </si>
  <si>
    <t>ma</t>
  </si>
  <si>
    <t>mb</t>
  </si>
  <si>
    <t>mc</t>
  </si>
  <si>
    <t>md</t>
  </si>
  <si>
    <t>me</t>
  </si>
  <si>
    <t>mf</t>
  </si>
  <si>
    <t>mg</t>
  </si>
  <si>
    <t>mh</t>
  </si>
  <si>
    <t>mi</t>
  </si>
  <si>
    <t>mj</t>
  </si>
  <si>
    <t>mk</t>
  </si>
  <si>
    <t>ml</t>
  </si>
  <si>
    <t>mm</t>
  </si>
  <si>
    <t>mn</t>
  </si>
  <si>
    <t>mo</t>
  </si>
  <si>
    <t>mp</t>
  </si>
  <si>
    <t>mq</t>
  </si>
  <si>
    <t>mr</t>
  </si>
  <si>
    <t>ms</t>
  </si>
  <si>
    <t>mt</t>
  </si>
  <si>
    <t>mu</t>
  </si>
  <si>
    <t>mv</t>
  </si>
  <si>
    <t>mw</t>
  </si>
  <si>
    <t>mx</t>
  </si>
  <si>
    <t>my</t>
  </si>
  <si>
    <t>mz</t>
  </si>
  <si>
    <t>na</t>
  </si>
  <si>
    <t>nb</t>
  </si>
  <si>
    <t>nc</t>
  </si>
  <si>
    <t>nd</t>
  </si>
  <si>
    <t>ne</t>
  </si>
  <si>
    <t>nf</t>
  </si>
  <si>
    <t>ng</t>
  </si>
  <si>
    <t>nh</t>
  </si>
  <si>
    <t>ni</t>
  </si>
  <si>
    <t>nj</t>
  </si>
  <si>
    <t>nk</t>
  </si>
  <si>
    <t>nl</t>
  </si>
  <si>
    <t>nm</t>
  </si>
  <si>
    <t>nn</t>
  </si>
  <si>
    <t>no</t>
  </si>
  <si>
    <t>np</t>
  </si>
  <si>
    <t>nq</t>
  </si>
  <si>
    <t>nr</t>
  </si>
  <si>
    <t>ns</t>
  </si>
  <si>
    <t>nt</t>
  </si>
  <si>
    <t>nu</t>
  </si>
  <si>
    <t>nv</t>
  </si>
  <si>
    <t>nw</t>
  </si>
  <si>
    <t>nx</t>
  </si>
  <si>
    <t>ny</t>
  </si>
  <si>
    <t>nz</t>
  </si>
  <si>
    <t>oa</t>
  </si>
  <si>
    <t>ob</t>
  </si>
  <si>
    <t>oc</t>
  </si>
  <si>
    <t>od</t>
  </si>
  <si>
    <t>oe</t>
  </si>
  <si>
    <t>of</t>
  </si>
  <si>
    <t>og</t>
  </si>
  <si>
    <t>oh</t>
  </si>
  <si>
    <t>oi</t>
  </si>
  <si>
    <t>oj</t>
  </si>
  <si>
    <t>ok</t>
  </si>
  <si>
    <t>ol</t>
  </si>
  <si>
    <t>om</t>
  </si>
  <si>
    <t>on</t>
  </si>
  <si>
    <t>oo</t>
  </si>
  <si>
    <t>op</t>
  </si>
  <si>
    <t>oq</t>
  </si>
  <si>
    <t>or</t>
  </si>
  <si>
    <t>os</t>
  </si>
  <si>
    <t>ot</t>
  </si>
  <si>
    <t>ou</t>
  </si>
  <si>
    <t>ov</t>
  </si>
  <si>
    <t>ow</t>
  </si>
  <si>
    <t>ox</t>
  </si>
  <si>
    <t>oy</t>
  </si>
  <si>
    <t>oz</t>
  </si>
  <si>
    <t>pa</t>
  </si>
  <si>
    <t>pb</t>
  </si>
  <si>
    <t>pc</t>
  </si>
  <si>
    <t>pd</t>
  </si>
  <si>
    <t>pe</t>
  </si>
  <si>
    <t>pf</t>
  </si>
  <si>
    <t>pg</t>
  </si>
  <si>
    <t>ph</t>
  </si>
  <si>
    <t>pi</t>
  </si>
  <si>
    <t>pj</t>
  </si>
  <si>
    <t>pk</t>
  </si>
  <si>
    <t>pl</t>
  </si>
  <si>
    <t>pm</t>
  </si>
  <si>
    <t>pn</t>
  </si>
  <si>
    <t>po</t>
  </si>
  <si>
    <t>pp</t>
  </si>
  <si>
    <t>pq</t>
  </si>
  <si>
    <t>pr</t>
  </si>
  <si>
    <t>ps</t>
  </si>
  <si>
    <t>pt</t>
  </si>
  <si>
    <t>pu</t>
  </si>
  <si>
    <t>pv</t>
  </si>
  <si>
    <t>pw</t>
  </si>
  <si>
    <t>px</t>
  </si>
  <si>
    <t>py</t>
  </si>
  <si>
    <t>pz</t>
  </si>
  <si>
    <t>qa</t>
  </si>
  <si>
    <t>qb</t>
  </si>
  <si>
    <t>qc</t>
  </si>
  <si>
    <t>qd</t>
  </si>
  <si>
    <t>qe</t>
  </si>
  <si>
    <t>qf</t>
  </si>
  <si>
    <t>qg</t>
  </si>
  <si>
    <t>qh</t>
  </si>
  <si>
    <t>qi</t>
  </si>
  <si>
    <t>qj</t>
  </si>
  <si>
    <t>qk</t>
  </si>
  <si>
    <t>ql</t>
  </si>
  <si>
    <t>qm</t>
  </si>
  <si>
    <t>qn</t>
  </si>
  <si>
    <t>qo</t>
  </si>
  <si>
    <t>qp</t>
  </si>
  <si>
    <t>qq</t>
  </si>
  <si>
    <t>qr</t>
  </si>
  <si>
    <t>qs</t>
  </si>
  <si>
    <t>qt</t>
  </si>
  <si>
    <t>qu</t>
  </si>
  <si>
    <t>qv</t>
  </si>
  <si>
    <t>qw</t>
  </si>
  <si>
    <t>qx</t>
  </si>
  <si>
    <t>qy</t>
  </si>
  <si>
    <t>qz</t>
  </si>
  <si>
    <t>ra</t>
  </si>
  <si>
    <t>rb</t>
  </si>
  <si>
    <t>rc</t>
  </si>
  <si>
    <t>rd</t>
  </si>
  <si>
    <t>re</t>
  </si>
  <si>
    <t>rf</t>
  </si>
  <si>
    <t>rg</t>
  </si>
  <si>
    <t>rh</t>
  </si>
  <si>
    <t>ri</t>
  </si>
  <si>
    <t>rj</t>
  </si>
  <si>
    <t>rk</t>
  </si>
  <si>
    <t>rl</t>
  </si>
  <si>
    <t>rm</t>
  </si>
  <si>
    <t>rn</t>
  </si>
  <si>
    <t>ro</t>
  </si>
  <si>
    <t>rp</t>
  </si>
  <si>
    <t>rq</t>
  </si>
  <si>
    <t>rr</t>
  </si>
  <si>
    <t>rs</t>
  </si>
  <si>
    <t>rt</t>
  </si>
  <si>
    <t>ru</t>
  </si>
  <si>
    <t>rv</t>
  </si>
  <si>
    <t>rw</t>
  </si>
  <si>
    <t>rx</t>
  </si>
  <si>
    <t>ry</t>
  </si>
  <si>
    <t>rz</t>
  </si>
  <si>
    <t>sa</t>
  </si>
  <si>
    <t>sb</t>
  </si>
  <si>
    <t>sc</t>
  </si>
  <si>
    <t>sd</t>
  </si>
  <si>
    <t>se</t>
  </si>
  <si>
    <t>sf</t>
  </si>
  <si>
    <t>sg</t>
  </si>
  <si>
    <t>sh</t>
  </si>
  <si>
    <t>si</t>
  </si>
  <si>
    <t>sj</t>
  </si>
  <si>
    <t>sk</t>
  </si>
  <si>
    <t>sl</t>
  </si>
  <si>
    <t>sm</t>
  </si>
  <si>
    <t>sn</t>
  </si>
  <si>
    <t>so</t>
  </si>
  <si>
    <t>sp</t>
  </si>
  <si>
    <t>sq</t>
  </si>
  <si>
    <t>sr</t>
  </si>
  <si>
    <t>ss</t>
  </si>
  <si>
    <t>st</t>
  </si>
  <si>
    <t>su</t>
  </si>
  <si>
    <t>sv</t>
  </si>
  <si>
    <t>sw</t>
  </si>
  <si>
    <t>sx</t>
  </si>
  <si>
    <t>sy</t>
  </si>
  <si>
    <t>sz</t>
  </si>
  <si>
    <t>ta</t>
  </si>
  <si>
    <t>tb</t>
  </si>
  <si>
    <t>tc</t>
  </si>
  <si>
    <t>td</t>
  </si>
  <si>
    <t>te</t>
  </si>
  <si>
    <t>tf</t>
  </si>
  <si>
    <t>tg</t>
  </si>
  <si>
    <t>th</t>
  </si>
  <si>
    <t>ti</t>
  </si>
  <si>
    <t>tj</t>
  </si>
  <si>
    <t>tk</t>
  </si>
  <si>
    <t>tl</t>
  </si>
  <si>
    <t>tm</t>
  </si>
  <si>
    <t>tn</t>
  </si>
  <si>
    <t>to</t>
  </si>
  <si>
    <t>tp</t>
  </si>
  <si>
    <t>tq</t>
  </si>
  <si>
    <t>tr</t>
  </si>
  <si>
    <t>ts</t>
  </si>
  <si>
    <t>tt</t>
  </si>
  <si>
    <t>tu</t>
  </si>
  <si>
    <t>tv</t>
  </si>
  <si>
    <t>tw</t>
  </si>
  <si>
    <t>tx</t>
  </si>
  <si>
    <t>ty</t>
  </si>
  <si>
    <t>tz</t>
  </si>
  <si>
    <t>ua</t>
  </si>
  <si>
    <t>ub</t>
  </si>
  <si>
    <t>uc</t>
  </si>
  <si>
    <t>ud</t>
  </si>
  <si>
    <t>ue</t>
  </si>
  <si>
    <t>uf</t>
  </si>
  <si>
    <t>ug</t>
  </si>
  <si>
    <t>SUBTOTAL</t>
  </si>
  <si>
    <t>O&amp;M TOTAL ESCALATIONS:</t>
  </si>
  <si>
    <t>TOTAL INCREASE (DECREASE) IN COSTS</t>
  </si>
  <si>
    <t>INCREASE (DECREASE) OPERATING INCOME</t>
  </si>
  <si>
    <t>RATEBASE:</t>
  </si>
  <si>
    <t>ADIT:</t>
  </si>
  <si>
    <t>OPERATING INCOME/EXPENSE:</t>
  </si>
  <si>
    <t>PLANT:</t>
  </si>
  <si>
    <t>ACCUMULATED DEPRECIATION:</t>
  </si>
  <si>
    <t>GROSS PLANT</t>
  </si>
  <si>
    <t>ACQUISITION ADJUSTMENT</t>
  </si>
  <si>
    <t>m = k + l</t>
  </si>
  <si>
    <t>RATE YEAR 1 - DECEMBER 2023</t>
  </si>
  <si>
    <t>INCLUDE</t>
  </si>
  <si>
    <t>AFTER</t>
  </si>
  <si>
    <t>DEFICIENCY</t>
  </si>
  <si>
    <t>Includes Each Year's Deficiency</t>
  </si>
  <si>
    <t>BASE RATES</t>
  </si>
  <si>
    <t>Cost of Debt</t>
  </si>
  <si>
    <t>ROR per Settlement</t>
  </si>
  <si>
    <t xml:space="preserve">DETERMINATION OF DEFICIENCY ASSOCIATED WITH </t>
  </si>
  <si>
    <t>SUBJECT TO REFUND</t>
  </si>
  <si>
    <t>PLANT RELATED COSTS</t>
  </si>
  <si>
    <t>Statutory Federal Income Tax Rate</t>
  </si>
  <si>
    <t>Conversion Factor</t>
  </si>
  <si>
    <t>Impact on Operating Income for Depreciation/Amortization Expense</t>
  </si>
  <si>
    <t>Income Tax Expense</t>
  </si>
  <si>
    <t>Impact on NOI for Depreciation/Amortization Expense</t>
  </si>
  <si>
    <t>Net Operating Income</t>
  </si>
  <si>
    <t>Net Operating Income Requirement (Return on Rate Base)</t>
  </si>
  <si>
    <t>Net Operating Income Deficiency</t>
  </si>
  <si>
    <t>Grossed Up Deficiency - Cumulative</t>
  </si>
  <si>
    <t>Grossed Up Deficiency - By Year</t>
  </si>
  <si>
    <t>SUBJECT TO REFUND (SCH. 141R)</t>
  </si>
  <si>
    <t>Subject to</t>
  </si>
  <si>
    <t>Refund</t>
  </si>
  <si>
    <t>Not</t>
  </si>
  <si>
    <t>Total</t>
  </si>
  <si>
    <t xml:space="preserve">EXCISE TAX </t>
  </si>
  <si>
    <t>INCREASE(DECREASE)  WUTC FILING FEE</t>
  </si>
  <si>
    <t>INCREASE(DECREASE) EXCISE TAX</t>
  </si>
  <si>
    <t>CUMULATIVE REVENUE CHANGE</t>
  </si>
  <si>
    <t>NET CHANGE TO BE MADE AT:</t>
  </si>
  <si>
    <t>TOTAL DEPRECIATION AND AMORTIZATION EXPENSE</t>
  </si>
  <si>
    <t>TOTAL ADJUSTMENT TO RATE BASE</t>
  </si>
  <si>
    <t>NOT SUBJECT TO REFUND (SCH. 141N)</t>
  </si>
  <si>
    <t>PRO FORMA O&amp;M</t>
  </si>
  <si>
    <t>PROGRAMMATIC PROVISIONAL PROFORMA</t>
  </si>
  <si>
    <t>SPECIFIC PROVISIONAL PROFORMA</t>
  </si>
  <si>
    <t>PROJECTED PROVISIONAL PROFORMA</t>
  </si>
  <si>
    <t>CUSTOMER DRIVEN PROGRAMMATIC PROVISIONAL PROFORMA</t>
  </si>
  <si>
    <t>STORM EXPENSE NORMALIZATION</t>
  </si>
  <si>
    <t>STORM DEFERRAL AMORTIZATION</t>
  </si>
  <si>
    <t>TEST YEAR PLANT ROLL FORWARD</t>
  </si>
  <si>
    <t>Page No.</t>
  </si>
  <si>
    <t>Adj.</t>
  </si>
  <si>
    <t>Adjs.</t>
  </si>
  <si>
    <t>Enter Last Page Here</t>
  </si>
  <si>
    <t>PASS-THROUGH REVENUE &amp; EXPENSE</t>
  </si>
  <si>
    <t>REVENUES AND EXPENSES</t>
  </si>
  <si>
    <t>ENVIRONMENTAL REMEDIATION</t>
  </si>
  <si>
    <t>AMI PLANT AND DEFERRAL</t>
  </si>
  <si>
    <t>INTEREST ON  CUSTOMER DEPOSITS</t>
  </si>
  <si>
    <t>Gap Year</t>
  </si>
  <si>
    <t>Restating</t>
  </si>
  <si>
    <t>From EOP Adj.</t>
  </si>
  <si>
    <t>from EOP Adj.</t>
  </si>
  <si>
    <t>PERIOD</t>
  </si>
  <si>
    <t>DEFERRED GAINS AND LOSSES ON PROPERTY SALES</t>
  </si>
  <si>
    <t>ESTIMATED PLANT RETIREMENTS RATE BASE</t>
  </si>
  <si>
    <t>INCREASE TO GROSS PLANT</t>
  </si>
  <si>
    <t>INCREASE TO ACCUM. DEPRECIATION &amp; AMORTIZATION</t>
  </si>
  <si>
    <t>INCREASE TO ACCUMULATED DEFERRED INCOME TAXES</t>
  </si>
  <si>
    <t>PROVISIONAL PROFORMA RETIREMENTS DEPRECIATION</t>
  </si>
  <si>
    <t>DFIT ALL OTHER</t>
  </si>
  <si>
    <t>DFIT EDIT REVERSALS</t>
  </si>
  <si>
    <t>DFIT FLOW-THROUGH REVERSALS</t>
  </si>
  <si>
    <t>NOTE: ADJUSTMENTS TO ADIT ARE MADE IN ALL OTHER ADJUSTMENTS WITH RATE BASE COMPONENTS</t>
  </si>
  <si>
    <t>BAD DEBT EXPENSE</t>
  </si>
  <si>
    <t>NET RATE BASE</t>
  </si>
  <si>
    <t>ACCUMULATED DEFERRED INCOME TAXES</t>
  </si>
  <si>
    <t>Grossed Up Deficiency - Cumulative In Rates</t>
  </si>
  <si>
    <t>ACCUM. DEPRECIATION &amp; AMORTIZATION</t>
  </si>
  <si>
    <t>ADJUSTMENT TO ADIT IS IN ADJ 6.29 AND TO EDIT IS IN 6.04</t>
  </si>
  <si>
    <t>Check Net Revenue Change to COS</t>
  </si>
  <si>
    <t>Rate of Return</t>
  </si>
  <si>
    <t>EXH. SEF-04 page 3 of 7</t>
  </si>
  <si>
    <t>EXH. SEF-04 page 2 of 7</t>
  </si>
  <si>
    <t>NOI Requirement</t>
  </si>
  <si>
    <t>Opex</t>
  </si>
  <si>
    <t>Revenue Requirment</t>
  </si>
  <si>
    <t>Traditional Profoma</t>
  </si>
  <si>
    <t>RY1 2025</t>
  </si>
  <si>
    <t>RY2 2026</t>
  </si>
  <si>
    <t>2024 GENERAL RATE CASE</t>
  </si>
  <si>
    <t>Rate Yr 1</t>
  </si>
  <si>
    <t>Rate Yr 2</t>
  </si>
  <si>
    <t>Gap 2024</t>
  </si>
  <si>
    <t>12 MONTHS ENDED JUNE 30, 2023</t>
  </si>
  <si>
    <t>AMA JUN 2023</t>
  </si>
  <si>
    <t>EOP JUN 2023</t>
  </si>
  <si>
    <t>EOP DEC 2023</t>
  </si>
  <si>
    <t>EOP DEC 2024</t>
  </si>
  <si>
    <t>AMA 2026</t>
  </si>
  <si>
    <t>AMA DEC 2026</t>
  </si>
  <si>
    <t>AMA 2027</t>
  </si>
  <si>
    <t>AMA DEC 2028</t>
  </si>
  <si>
    <t>AMA DEC 2027</t>
  </si>
  <si>
    <t>12ME JUNE 2023</t>
  </si>
  <si>
    <t>DEC 2023</t>
  </si>
  <si>
    <t>AMA 2028</t>
  </si>
  <si>
    <t>Check to Stand-alone Adjustment</t>
  </si>
  <si>
    <t>NOI - After</t>
  </si>
  <si>
    <t>RY1 - 2025</t>
  </si>
  <si>
    <t>RY2 - 2026</t>
  </si>
  <si>
    <t>RY3 - 2027</t>
  </si>
  <si>
    <t>RY4 - 2028</t>
  </si>
  <si>
    <t>BEFORE CHANGES (values copied here)</t>
  </si>
  <si>
    <t>RATE YEAR 4</t>
  </si>
  <si>
    <t>BEG OF RY 4 →</t>
  </si>
  <si>
    <t>12 MOE DECEMBER 2026</t>
  </si>
  <si>
    <t>12 MOE DECEMBER 2027</t>
  </si>
  <si>
    <t>12 MOE DECEMBER 2028</t>
  </si>
  <si>
    <t>After CHANGES (calculated - copy to)</t>
  </si>
  <si>
    <t>NET REVENUE CHANGE IN BASE RATES BY RATE YEAR</t>
  </si>
  <si>
    <t>Check BB and EB NOI Period Balances to Summary</t>
  </si>
  <si>
    <t>Check BB and EB Rate Base Period Balances to Summary</t>
  </si>
  <si>
    <t>s/b 0!</t>
  </si>
  <si>
    <t>GAS RESULTS OF OPERATIONS</t>
  </si>
  <si>
    <t>GAS STATEMENT OF OPERATING INCOME</t>
  </si>
  <si>
    <t>GAS</t>
  </si>
  <si>
    <t>PUGET SOUND ENERGY - GAS</t>
  </si>
  <si>
    <t>DIFFERENCE (should be 0)</t>
  </si>
  <si>
    <t>404 GAS PORTION OF COMMON</t>
  </si>
  <si>
    <t>404 GAS AMORTIZATION EXPENSE</t>
  </si>
  <si>
    <t>403 GAS PORTION OF COMMON</t>
  </si>
  <si>
    <t>403 GAS DEPRECIATION EXPENSE</t>
  </si>
  <si>
    <t>TOTAL PROVISIONAL PROFORMA ADJSUTMENTS</t>
  </si>
  <si>
    <t>TOTAL GAS AMI ADIT</t>
  </si>
  <si>
    <t>GAS PORTION OF COMMON AMI</t>
  </si>
  <si>
    <t>GAS AMI</t>
  </si>
  <si>
    <t>TOTAL GAS AMI ACCUM DEPRECIATION</t>
  </si>
  <si>
    <t>TOTAL GAS AMI PLANT</t>
  </si>
  <si>
    <t>PURCHASED AND INTERCHANGED</t>
  </si>
  <si>
    <t>INCREASE (DECREASE) TAXES OTHER THAN FIT</t>
  </si>
  <si>
    <t>REMOVE GAS COSTS ASSOCIATED WITH STORAGE RENT REVENUE</t>
  </si>
  <si>
    <t>REMOVE GAS COSTS ASSOCIATED WITH PGA CURTAILMENT REVENUES</t>
  </si>
  <si>
    <t>INCREASE (DECREASE) FIT  (LINE 30 * 21%)</t>
  </si>
  <si>
    <t>OPERATING EXPENSES:</t>
  </si>
  <si>
    <t>TOTAL INCREASE (DECREASE) IN REVENUES</t>
  </si>
  <si>
    <t>REMOVE MUNICIPAL TAXES ASSOC WITH SALES TO CUSTOMERS</t>
  </si>
  <si>
    <t>REMOVE CARBON OFFSET 909 EXPENSE - SCHEDULE 137</t>
  </si>
  <si>
    <t xml:space="preserve">          SUB-TOTAL OTHER OPERATING REVNUE</t>
  </si>
  <si>
    <t>REMOVE CARBON OFFSET 908 EXPENSE - SCHEDULE 137</t>
  </si>
  <si>
    <t>REMOVE CARBON OFFSET 805 EXPENSE - SCHEDULE 137</t>
  </si>
  <si>
    <t>REMOVE PGA DEFERRAL AMORTIZATION EXP - SCHEDULE 106</t>
  </si>
  <si>
    <t>REMOVE PGA GAS COSTS SCHEDULE 101</t>
  </si>
  <si>
    <t>REMOVE CONSERVATION AMORTIZATION - SCHEDULE 120</t>
  </si>
  <si>
    <t>REMOVE DECOUPLING DEFERRALS</t>
  </si>
  <si>
    <t xml:space="preserve">ADJUSTMENT TO ACCUM. DEPREC. </t>
  </si>
  <si>
    <t>ADJUSTMENT TO ACCUM. DEPREC. AT 100% DEPREC. EXP. LINE 12</t>
  </si>
  <si>
    <t>INCREASE (DECREASE) FIT @ 21%</t>
  </si>
  <si>
    <t>REMOVE MUNICIPAL TAXES ASSOC WITH OTHER OPRTG REV</t>
  </si>
  <si>
    <t>REMOVE PROPERTY TAX TRACKER ASSOC WITH OTHER OPRG REV</t>
  </si>
  <si>
    <t>411.10 GAS ASSET RETIREMENT OBLIGATION ACCRETION</t>
  </si>
  <si>
    <t>OTHER ADJUSTMENTS</t>
  </si>
  <si>
    <t>403.1 GAS PORTION OF COMMON</t>
  </si>
  <si>
    <t>REMOVE OTHER ASSOC WITH CARBON OFFSET - SCHEDULE 137</t>
  </si>
  <si>
    <t>403.1 GAS ASSET RETIREMENT COST DEPRECIATION</t>
  </si>
  <si>
    <t>REMOVE CARBON OFFSET - SCHEDULE 137</t>
  </si>
  <si>
    <t>NETGAS AMR PLANT</t>
  </si>
  <si>
    <t>REMOVE REVENUE ASSOC WITH PGA AMORTIZATION - SCHEDULE 106</t>
  </si>
  <si>
    <t>INCREASE(DECREASE) OPERATING EXPENSE (LINE 18)</t>
  </si>
  <si>
    <t>TEMP. NORM ADJUSTMENT FOR NON-DECOUPLED / DECOUPLED  REVENUES</t>
  </si>
  <si>
    <t>REMOVE PGA REVNUES SCHEDULE 101</t>
  </si>
  <si>
    <t>ACCUMULATED DEPRECIATION FOR GAS AMR</t>
  </si>
  <si>
    <t>STORAGE, LNG T&amp;G</t>
  </si>
  <si>
    <t>GAS AMR PLANT IN SERVICE</t>
  </si>
  <si>
    <t>OTHER GAS SUPPLY</t>
  </si>
  <si>
    <t>WATER HEATERS PROPERTY LOSS (2 yr amort)</t>
  </si>
  <si>
    <t>AVERAGE PRICING PER THERM</t>
  </si>
  <si>
    <t>REMOVE CONSERVATION TRACKER - SCHEDULE 120</t>
  </si>
  <si>
    <t>PRODUCTION MANUF. GAS</t>
  </si>
  <si>
    <t>APPROVED IN  UE-190531 &amp; PENDING APPROVAL</t>
  </si>
  <si>
    <t xml:space="preserve">UNCOLLECTIBLES CHARGED TO EXPENSE </t>
  </si>
  <si>
    <t>NON-DECOUPLED THERMS / DECOUPLED THERMS</t>
  </si>
  <si>
    <t>DECOUPLED THERMS</t>
  </si>
  <si>
    <t>NON-DECOUPLED THERMS</t>
  </si>
  <si>
    <t>UG-__________</t>
  </si>
  <si>
    <t xml:space="preserve">DFIT ON DEPRECIATION DEFERRAL </t>
  </si>
  <si>
    <t>ACCUM AMORT ON DEPRECIATION DEFERRAL</t>
  </si>
  <si>
    <t>NATURAL GAS</t>
  </si>
  <si>
    <t xml:space="preserve">AMA </t>
  </si>
  <si>
    <t>Period Beginning Balance</t>
  </si>
  <si>
    <t>TOTAL REGULATORY ASSETS SUMMARIZED</t>
  </si>
  <si>
    <t>REMOVE vRNG - SCHEDULE 138</t>
  </si>
  <si>
    <t>REMOVE OTHER ASSOC WITH vRNG - SCHEDULE 138</t>
  </si>
  <si>
    <t>REMOVE CARBON OFFSET 805 EXPENSE - SCHEDULE 138</t>
  </si>
  <si>
    <t>REMOVE CARBON OFFSET 908 EXPENSE - SCHEDULE 138</t>
  </si>
  <si>
    <t>REMOVE CARBON OFFSET 909 EXPENSE - SCHEDULE 138</t>
  </si>
  <si>
    <t>411.10 GAS PORTION OF COMMON ASSET RETIRE OBLIG ACCRETION</t>
  </si>
  <si>
    <t>ADJUSTMENT TO ACCUM. DEPREC. AT 100% DEPREC. EXP. LINE 25</t>
  </si>
  <si>
    <t>Investment Plan</t>
  </si>
  <si>
    <t>Summary of JDT Adjustments</t>
  </si>
  <si>
    <t>AMI</t>
  </si>
  <si>
    <t>Revenue and</t>
  </si>
  <si>
    <t>Weather</t>
  </si>
  <si>
    <t>Adjustments</t>
  </si>
  <si>
    <t>JDT Adjustment</t>
  </si>
  <si>
    <t>Expense</t>
  </si>
  <si>
    <t>Pass-Through</t>
  </si>
  <si>
    <t>Normalization</t>
  </si>
  <si>
    <t>Total per JDT</t>
  </si>
  <si>
    <t>Cost</t>
  </si>
  <si>
    <t>Remove Municipal Tax Sch. 1 - Sales</t>
  </si>
  <si>
    <t>R</t>
  </si>
  <si>
    <t>Sales</t>
  </si>
  <si>
    <t>Remove Municipal Tax Sch. 1 - Rentals</t>
  </si>
  <si>
    <t>Rentals</t>
  </si>
  <si>
    <t>Remove PGA Sch. 101</t>
  </si>
  <si>
    <t>Remove PGA Amort. Sch. 106</t>
  </si>
  <si>
    <t>Remove Conservation Sch. 120</t>
  </si>
  <si>
    <t>Remove Low Income Sch. 129</t>
  </si>
  <si>
    <t>Remove Carbon Offset Sch. 137 Revenues</t>
  </si>
  <si>
    <t>Remove Carbon Offset Sch. 137 Offset</t>
  </si>
  <si>
    <t>Other</t>
  </si>
  <si>
    <t>Remove Property Tax Sch. 140 - Sales</t>
  </si>
  <si>
    <t>Remove Property Tax Sch. 140 - Rentals</t>
  </si>
  <si>
    <t>Remove ERF Sch. 141 - Sales</t>
  </si>
  <si>
    <t>Remove ERF Sch. 141 - Rentals</t>
  </si>
  <si>
    <t>Remove PP EDIT Sch. 141X - Sales</t>
  </si>
  <si>
    <t>Remove PP EDIT Sch. 141X - Rentals</t>
  </si>
  <si>
    <t>Remove Tax Reform Sch. 141Y - Sales</t>
  </si>
  <si>
    <t>Remove Tax Reform Sch. 141Y - Rentals</t>
  </si>
  <si>
    <t>Remove UP EDIT Sch. 141Z - Sales</t>
  </si>
  <si>
    <t>Remove UP EDIT Sch. 141Z - Rentals</t>
  </si>
  <si>
    <t>Remove Decoupling Sch. 142 Revenues</t>
  </si>
  <si>
    <t>Remove Decoupling Sch. 142 Amortization</t>
  </si>
  <si>
    <t>Remove CRM Sch. 149</t>
  </si>
  <si>
    <t>P</t>
  </si>
  <si>
    <t>Other Adjustments</t>
  </si>
  <si>
    <t>Remove Rentals Revenue (1)</t>
  </si>
  <si>
    <t>Remove Decoupling Deferrals</t>
  </si>
  <si>
    <t>Remove Storage Rent Revenue (6)</t>
  </si>
  <si>
    <t>PPG</t>
  </si>
  <si>
    <t>PP1</t>
  </si>
  <si>
    <t>PP2</t>
  </si>
  <si>
    <t>PP3</t>
  </si>
  <si>
    <t>Check to Rev Req Adjs.</t>
  </si>
  <si>
    <t>Totals</t>
  </si>
  <si>
    <t>Employee Insurance</t>
  </si>
  <si>
    <t>UPDATE DEPR RATES</t>
  </si>
  <si>
    <t>Green Power Program</t>
  </si>
  <si>
    <t>remove Plan WUTC Filing Fees (see above)</t>
  </si>
  <si>
    <t>add normalized WUTC Filing Fees</t>
  </si>
  <si>
    <t>remove Plan Bad Debt (see above)</t>
  </si>
  <si>
    <t>add normalized Bad Debt</t>
  </si>
  <si>
    <t>remove Plan Rate Case Expenses</t>
  </si>
  <si>
    <t>add normalized Rate Case Expenses</t>
  </si>
  <si>
    <t>remove Plan Interest on Customer Deposits</t>
  </si>
  <si>
    <t>add normalized Interest on Customer Deposits</t>
  </si>
  <si>
    <t>add normalized Pension Expense</t>
  </si>
  <si>
    <t>add normalized Injuries and Damages</t>
  </si>
  <si>
    <t>remove Plan Incentive Pay</t>
  </si>
  <si>
    <t>add normalized Incentive Pay</t>
  </si>
  <si>
    <t>remove Plan Storm</t>
  </si>
  <si>
    <t>add normalized Storm</t>
  </si>
  <si>
    <t>REMOVE TEST YEAR DEFERRALS</t>
  </si>
  <si>
    <t>REMOVE TY REVENUE DEFERRALS</t>
  </si>
  <si>
    <t>REMOVE TY EXPENSE DEFERRALS</t>
  </si>
  <si>
    <t>Tacoma LNG Upgrades Dep Def &gt; 9/2020</t>
  </si>
  <si>
    <t>Gas Reg. Filing Fee Deferral</t>
  </si>
  <si>
    <t>9800 - GTZ Depr Exp Deferral</t>
  </si>
  <si>
    <t>LNG Depreciation Expense Deferral</t>
  </si>
  <si>
    <t>EMISSION EXPENSE</t>
  </si>
  <si>
    <t>EMISSION EXPENSE DEFERRAL</t>
  </si>
  <si>
    <t>STATE UTILITY TAX</t>
  </si>
  <si>
    <t>WUTC Fees</t>
  </si>
  <si>
    <t>Storm</t>
  </si>
  <si>
    <t>remove Plan Pension Expense (% of Ben OH)</t>
  </si>
  <si>
    <t>remove Plan Injuries and Damages (ce 63300158)</t>
  </si>
  <si>
    <t>SUBTOTAL CHANGES TO OTHER PRICE SCHEDULES</t>
  </si>
  <si>
    <t>NET REVENUE CHANGE BY RATE YEAR</t>
  </si>
  <si>
    <t>OPERATING INCOME</t>
  </si>
  <si>
    <t>Remove Test Year Entries for Deferred Return (495)</t>
  </si>
  <si>
    <r>
      <t xml:space="preserve">Amortization of Deferred </t>
    </r>
    <r>
      <rPr>
        <b/>
        <sz val="10"/>
        <color rgb="FFFF0000"/>
        <rFont val="Times New Roman"/>
        <family val="1"/>
      </rPr>
      <t>Equity</t>
    </r>
    <r>
      <rPr>
        <sz val="10"/>
        <color theme="1"/>
        <rFont val="Times New Roman"/>
        <family val="1"/>
      </rPr>
      <t xml:space="preserve"> Return on AMI </t>
    </r>
  </si>
  <si>
    <t xml:space="preserve">      2021 AND 2019 GRC EXPENSES TO BE NORMALIZED</t>
  </si>
  <si>
    <t>COLSTRIP REMOVAL</t>
  </si>
  <si>
    <t>TEP TRACKER</t>
  </si>
  <si>
    <r>
      <t>LNG UPGRADE DEPRECIATION (</t>
    </r>
    <r>
      <rPr>
        <sz val="10"/>
        <color rgb="FF0000FF"/>
        <rFont val="Times New Roman"/>
        <family val="1"/>
      </rPr>
      <t>End Jan 2026</t>
    </r>
    <r>
      <rPr>
        <sz val="10"/>
        <rFont val="Times New Roman"/>
        <family val="1"/>
      </rPr>
      <t>)</t>
    </r>
  </si>
  <si>
    <t>Pro Forma 2023</t>
  </si>
  <si>
    <t>RATE YEAR 1 - DECEMBER 2025</t>
  </si>
  <si>
    <t>RATE YEAR 2 - DECEMBER 2026</t>
  </si>
  <si>
    <t>RATE YEAR 3 - N/A</t>
  </si>
  <si>
    <t>Gap Year 2024</t>
  </si>
  <si>
    <t>Check=&gt;</t>
  </si>
  <si>
    <t>Restating through December 2024</t>
  </si>
  <si>
    <t>Income Statement Sign (i.e. NOT Ledger Sign) See Cell A3</t>
  </si>
  <si>
    <t>IMPORTANT: Amounts on this spreadsheet are shown with the same sign as the income statement to more easily be compared to the model which shows positive revenues as positive numbers (increases to NOI) and negative revenues as negative numbers (decreases to NOI). Therefore, positive numbers on this spreadsheet are credits on the GL and negative numbers on this spreadsheet are debits on the GL.</t>
  </si>
  <si>
    <t>Check (should not be red)</t>
  </si>
  <si>
    <t>SEF-9</t>
  </si>
  <si>
    <t>↑Add Forumlas When Used↑</t>
  </si>
  <si>
    <t>NOT Ledger Sign
See Note Cell A3</t>
  </si>
  <si>
    <t>Restated</t>
  </si>
  <si>
    <t>Proforma</t>
  </si>
  <si>
    <t>Rate Year 1</t>
  </si>
  <si>
    <t>Rate Year 2</t>
  </si>
  <si>
    <t>Order</t>
  </si>
  <si>
    <t>Order Name</t>
  </si>
  <si>
    <t>6/30/2023 Test Year</t>
  </si>
  <si>
    <t>AMI Plant &amp; Def</t>
  </si>
  <si>
    <t>Remove TY Deferrals</t>
  </si>
  <si>
    <t>Open</t>
  </si>
  <si>
    <t>Total Adjustments</t>
  </si>
  <si>
    <t>Reg A/L</t>
  </si>
  <si>
    <t>Treatment</t>
  </si>
  <si>
    <t>48700012</t>
  </si>
  <si>
    <t>Late Pay Fee - Gas</t>
  </si>
  <si>
    <t>Appropriate Other Operating Revenue - TY used for RY</t>
  </si>
  <si>
    <t>48800002</t>
  </si>
  <si>
    <t>9900 - Misc. SD Revenue - Gas</t>
  </si>
  <si>
    <t>48800003</t>
  </si>
  <si>
    <t>9900 - Gas R7 Special Contract Revenue</t>
  </si>
  <si>
    <t>48800012</t>
  </si>
  <si>
    <t>Trip Charges - Residential -Gas</t>
  </si>
  <si>
    <t>48800082</t>
  </si>
  <si>
    <t>Returned Check Fee - GAS</t>
  </si>
  <si>
    <t>48800087</t>
  </si>
  <si>
    <t>Acct. Service Charges - Gas</t>
  </si>
  <si>
    <t>48800091</t>
  </si>
  <si>
    <t>Rule 28 Tax Surch on R7 CA (9-1-03)</t>
  </si>
  <si>
    <t>48800122</t>
  </si>
  <si>
    <t>Non-Consumption Utility Taxes - Gas</t>
  </si>
  <si>
    <t>48940001</t>
  </si>
  <si>
    <t>1820 - Gas Storage - Oth- PSEE @ Jackson</t>
  </si>
  <si>
    <t>Intracompany revenues for gas book selling electric book JP storage. The electric 547 order is adjusted in power costs. This needs to be removed as it is related to the PGA which is removed. See 2022 GRC.</t>
  </si>
  <si>
    <t>James</t>
  </si>
  <si>
    <t>48940002</t>
  </si>
  <si>
    <t>Gas Storage - Oth-PSEE@Jackson</t>
  </si>
  <si>
    <t>48940001 is old order through January, this is the new order starting 2/23 and also needs to be removed.</t>
  </si>
  <si>
    <t>49300142</t>
  </si>
  <si>
    <t>Gas Rental Services Revenue</t>
  </si>
  <si>
    <t>49300200</t>
  </si>
  <si>
    <t>Rent fr Gas Property - Land &amp; Buildings</t>
  </si>
  <si>
    <t>49500001</t>
  </si>
  <si>
    <t>Ind Rule 23 Overrun Entitle (3.1.19)</t>
  </si>
  <si>
    <t>49500006</t>
  </si>
  <si>
    <t>3037 # JO Revenue - Instrumentation</t>
  </si>
  <si>
    <t>49500010</t>
  </si>
  <si>
    <t>Ind Rule 29 Entitle Constraint  (3.1.19)</t>
  </si>
  <si>
    <t>49500011</t>
  </si>
  <si>
    <t>PLR EDIT Gas Other Op Rev</t>
  </si>
  <si>
    <t>Should be removed in Revenue and Expense Adjustment - See 2022 GRC</t>
  </si>
  <si>
    <t>49500012</t>
  </si>
  <si>
    <t>4430-Other Gas Reven-Carbon Offset Progm</t>
  </si>
  <si>
    <t>Removed in Pass-Through</t>
  </si>
  <si>
    <t>49500013</t>
  </si>
  <si>
    <t>Com-Rl 23 Crtlmnt Cnstrnt Pnlt 1st 2 Hrs</t>
  </si>
  <si>
    <t>49500014</t>
  </si>
  <si>
    <t>Cm-Rl 23 Crtlmnt Cnstrnt Pnlt Bynd 2 Hrs</t>
  </si>
  <si>
    <t>49500019</t>
  </si>
  <si>
    <t>Ind-Rl 23 Crtlmnt Cnstrnt Pnlt 1st 2 Hrs</t>
  </si>
  <si>
    <t>49500020</t>
  </si>
  <si>
    <t>Ind-Rl 23 Crtlmt Cnstrnt Pnlt Bynd 2 Hrs</t>
  </si>
  <si>
    <t>49500025</t>
  </si>
  <si>
    <t>Amort Tac LNG Upgr Ret</t>
  </si>
  <si>
    <t>49500026</t>
  </si>
  <si>
    <t>9900 AMI Debt Ret Amort (G)</t>
  </si>
  <si>
    <t>49500060</t>
  </si>
  <si>
    <t>Other Gas Revenue - Misc. Income</t>
  </si>
  <si>
    <t>49500062</t>
  </si>
  <si>
    <t>9900-Other Gas Rev Imbalance Rule 29</t>
  </si>
  <si>
    <t>49500063</t>
  </si>
  <si>
    <t>G Decoup Rev Schedule 31 &amp; 31T</t>
  </si>
  <si>
    <t>Decoupling entries are removed as a proforma adjustment prior to adjusting to Birud's/John's volumetric proforma revenues at current rates.</t>
  </si>
  <si>
    <t>49500064</t>
  </si>
  <si>
    <t>G Decoup Rev 41, 41T, 86 &amp; 86T</t>
  </si>
  <si>
    <t>49500066</t>
  </si>
  <si>
    <t>G Decoup Amort Sch 142 - Sch 31 &amp; 31T in</t>
  </si>
  <si>
    <t>Amortization of prior decoupling deferrals removed as restating Pass-Through</t>
  </si>
  <si>
    <t>49500067</t>
  </si>
  <si>
    <t>G Decoup Amort Sch 142-Sch 41,41T,86,86T</t>
  </si>
  <si>
    <t>49500071</t>
  </si>
  <si>
    <t>AMI Return Deferral - Gas</t>
  </si>
  <si>
    <t>49500102</t>
  </si>
  <si>
    <t>9900-Gas Residential Decoupling Revenue</t>
  </si>
  <si>
    <t>49500122</t>
  </si>
  <si>
    <t>9900- Amort Sch 142 Gas Resid in Rates</t>
  </si>
  <si>
    <t>49500143</t>
  </si>
  <si>
    <t>LNG Return Deferral</t>
  </si>
  <si>
    <t>49500144</t>
  </si>
  <si>
    <t>Other Gas Rev -Vol RNG Program</t>
  </si>
  <si>
    <t>49500145</t>
  </si>
  <si>
    <t>Deferred revenue for Tacoma LNG Dist Upg</t>
  </si>
  <si>
    <t>151826100</t>
  </si>
  <si>
    <t>Jackson Prairie-Other Storage Rents</t>
  </si>
  <si>
    <t>Total Gas</t>
  </si>
  <si>
    <t>To be adjusted</t>
  </si>
  <si>
    <t>To be removed</t>
  </si>
  <si>
    <t>Income Statement AND Ledger Sign</t>
  </si>
  <si>
    <t>IMPORTANT: When it comes to expenses, the I/S sign and the Ledger sign are the same. Positive numbers on the I/S and on the Ledger represent positive expenses which are debits in the GL (decreases NOI) and negative numbers on the I/S and on the Ledger represent negative expenses which are debits in the GL (increase NOI).</t>
  </si>
  <si>
    <t>Ledger Sign</t>
  </si>
  <si>
    <t>40730302</t>
  </si>
  <si>
    <t>Amort Env Costs UG-170034</t>
  </si>
  <si>
    <t>40730303</t>
  </si>
  <si>
    <t>Amort Env Recovery UG-170034</t>
  </si>
  <si>
    <t>40730306</t>
  </si>
  <si>
    <t>GTZ Depr Amort T1 (Gas)</t>
  </si>
  <si>
    <t>40730307</t>
  </si>
  <si>
    <t>GTZ Cryg Chg Amort T1 (Gas)</t>
  </si>
  <si>
    <t>40730311</t>
  </si>
  <si>
    <t>Gas Env Rem Costs Amortization 2022 GRC</t>
  </si>
  <si>
    <t>40730312</t>
  </si>
  <si>
    <t>Gas Env Rem Recoveries Amort 2022 GRC</t>
  </si>
  <si>
    <t>40730313</t>
  </si>
  <si>
    <t>GTZ Gas Tranche 1a Depr Def'l UG-220067</t>
  </si>
  <si>
    <t>40730314</t>
  </si>
  <si>
    <t>GTZ Cryg Chg Amort T1a (Gas)  UG-220067</t>
  </si>
  <si>
    <t>40730315</t>
  </si>
  <si>
    <t>GTZ Depr Amort T2 (Gas) UG-220067</t>
  </si>
  <si>
    <t>40730316</t>
  </si>
  <si>
    <t>GTZ Cryg Chg Amort T2 (Gas) UG-220067</t>
  </si>
  <si>
    <t>40730317</t>
  </si>
  <si>
    <t>Tac LNG Upgr Dep UG220067</t>
  </si>
  <si>
    <t>40730319</t>
  </si>
  <si>
    <t>AMI Amort Exp 2022 GRC - Gas</t>
  </si>
  <si>
    <t>New!</t>
  </si>
  <si>
    <t>4073NEW (or 4074?)</t>
  </si>
  <si>
    <t>AMR Reg Asset Amortization</t>
  </si>
  <si>
    <t>Amortization occurs for the first time after the test year. Included in R A/L adjustment. Amount in 2026 is expected as R/A does not fully amortize for 20 years.</t>
  </si>
  <si>
    <t>40740405</t>
  </si>
  <si>
    <t>40740406</t>
  </si>
  <si>
    <t>40740408</t>
  </si>
  <si>
    <t>Emissions Expense Deferral</t>
  </si>
  <si>
    <t>40740412</t>
  </si>
  <si>
    <t>AMI Deprec Exp Deferral-Gas Post 7/2019</t>
  </si>
  <si>
    <t>40740602</t>
  </si>
  <si>
    <t>40740604</t>
  </si>
  <si>
    <t>40740606</t>
  </si>
  <si>
    <t>41170302</t>
  </si>
  <si>
    <t>1150 Loss -Disp Future Use Utility Plan</t>
  </si>
  <si>
    <t xml:space="preserve"> Emissions Expense </t>
  </si>
  <si>
    <t>ELECTRIC REGULATORY  ASSETS &amp; LIAB</t>
  </si>
  <si>
    <t>GAS REGULATORY ASSETS &amp; LIAB</t>
  </si>
  <si>
    <t>TACOMA LNG PLANT AND DEFERRAL - REMOVAL</t>
  </si>
  <si>
    <t>REGULATORY FILING FEE DEFERRAL</t>
  </si>
  <si>
    <t xml:space="preserve">TOTAL REGULATORY AMORT </t>
  </si>
  <si>
    <t>Rev/Exp</t>
  </si>
  <si>
    <t>↑Add Formulas When Used↑</t>
  </si>
  <si>
    <t>PROVISIONAL PROFORMA ADDITIONS</t>
  </si>
  <si>
    <t>Line</t>
  </si>
  <si>
    <t>Electric Vehicle Program</t>
  </si>
  <si>
    <t>remove Plan Production O&amp;M</t>
  </si>
  <si>
    <t>TARGET O&amp;M (PLAN WITH REGULATORY ADJUSTMENTS PLUS OTHER RATE YEAR ADJUSTMENTS)</t>
  </si>
  <si>
    <t>TARGET O&amp;M</t>
  </si>
  <si>
    <t>TOTAL O&amp;M</t>
  </si>
  <si>
    <t>MODEL End of Rate Year</t>
  </si>
  <si>
    <t>ADJUSTMENT</t>
  </si>
  <si>
    <t>Elec Direct</t>
  </si>
  <si>
    <t>Gas Direct</t>
  </si>
  <si>
    <t>Common Direct</t>
  </si>
  <si>
    <t>Reg Account</t>
  </si>
  <si>
    <t>Receiving Regulatory</t>
  </si>
  <si>
    <t>$</t>
  </si>
  <si>
    <t>Payroll Tax</t>
  </si>
  <si>
    <t>Non Payroll Tax</t>
  </si>
  <si>
    <t>Subtotal Electric</t>
  </si>
  <si>
    <t>Subtotal Gas</t>
  </si>
  <si>
    <t>9408100</t>
  </si>
  <si>
    <t>Other Taxes-Utl Oper</t>
  </si>
  <si>
    <t>4081</t>
  </si>
  <si>
    <t>4-Factor Allocator</t>
  </si>
  <si>
    <t>5000</t>
  </si>
  <si>
    <t>5020</t>
  </si>
  <si>
    <t>5050</t>
  </si>
  <si>
    <t>5060</t>
  </si>
  <si>
    <t>5110</t>
  </si>
  <si>
    <t>5120</t>
  </si>
  <si>
    <t>5130</t>
  </si>
  <si>
    <t>5140</t>
  </si>
  <si>
    <t>5350</t>
  </si>
  <si>
    <t>5370</t>
  </si>
  <si>
    <t>5380</t>
  </si>
  <si>
    <t>5390</t>
  </si>
  <si>
    <t>5410</t>
  </si>
  <si>
    <t>5420</t>
  </si>
  <si>
    <t>5430</t>
  </si>
  <si>
    <t>5440</t>
  </si>
  <si>
    <t>5450</t>
  </si>
  <si>
    <t>5460</t>
  </si>
  <si>
    <t>5480</t>
  </si>
  <si>
    <t>5490</t>
  </si>
  <si>
    <t>5510</t>
  </si>
  <si>
    <t>5520</t>
  </si>
  <si>
    <t>5530</t>
  </si>
  <si>
    <t>5540</t>
  </si>
  <si>
    <t>5570</t>
  </si>
  <si>
    <t>5600</t>
  </si>
  <si>
    <t>5612</t>
  </si>
  <si>
    <t>5613</t>
  </si>
  <si>
    <t>5615</t>
  </si>
  <si>
    <t>5617</t>
  </si>
  <si>
    <t>5618</t>
  </si>
  <si>
    <t>5620</t>
  </si>
  <si>
    <t>5630</t>
  </si>
  <si>
    <t>5660</t>
  </si>
  <si>
    <t>5670</t>
  </si>
  <si>
    <t>5680</t>
  </si>
  <si>
    <t>5700</t>
  </si>
  <si>
    <t>5710</t>
  </si>
  <si>
    <t>5730</t>
  </si>
  <si>
    <t>5800</t>
  </si>
  <si>
    <t>5810</t>
  </si>
  <si>
    <t>5820</t>
  </si>
  <si>
    <t>5830</t>
  </si>
  <si>
    <t>5840</t>
  </si>
  <si>
    <t>5860</t>
  </si>
  <si>
    <t>5870</t>
  </si>
  <si>
    <t>5880</t>
  </si>
  <si>
    <t>5890</t>
  </si>
  <si>
    <t>5900</t>
  </si>
  <si>
    <t>5920</t>
  </si>
  <si>
    <t>5930</t>
  </si>
  <si>
    <t>5940</t>
  </si>
  <si>
    <t>5950</t>
  </si>
  <si>
    <t>5960</t>
  </si>
  <si>
    <t>5970</t>
  </si>
  <si>
    <t>7170</t>
  </si>
  <si>
    <t>8070</t>
  </si>
  <si>
    <t>8075</t>
  </si>
  <si>
    <t>8130</t>
  </si>
  <si>
    <t>8140</t>
  </si>
  <si>
    <t>8180</t>
  </si>
  <si>
    <t>8240</t>
  </si>
  <si>
    <t>8300</t>
  </si>
  <si>
    <t>8310</t>
  </si>
  <si>
    <t>8320</t>
  </si>
  <si>
    <t>8330</t>
  </si>
  <si>
    <t>8340</t>
  </si>
  <si>
    <t>8350</t>
  </si>
  <si>
    <t>8360</t>
  </si>
  <si>
    <t>8370</t>
  </si>
  <si>
    <t>8400</t>
  </si>
  <si>
    <t>8410</t>
  </si>
  <si>
    <t>8441</t>
  </si>
  <si>
    <t>8462</t>
  </si>
  <si>
    <t>8700</t>
  </si>
  <si>
    <t>8710</t>
  </si>
  <si>
    <t>8740</t>
  </si>
  <si>
    <t>8750</t>
  </si>
  <si>
    <t>8760</t>
  </si>
  <si>
    <t>8780</t>
  </si>
  <si>
    <t>8790</t>
  </si>
  <si>
    <t>8800</t>
  </si>
  <si>
    <t>8810</t>
  </si>
  <si>
    <t>8850</t>
  </si>
  <si>
    <t>8860</t>
  </si>
  <si>
    <t>8870</t>
  </si>
  <si>
    <t>8890</t>
  </si>
  <si>
    <t>8900</t>
  </si>
  <si>
    <t>8920</t>
  </si>
  <si>
    <t>8930</t>
  </si>
  <si>
    <t>8940</t>
  </si>
  <si>
    <t>9010</t>
  </si>
  <si>
    <t>9020</t>
  </si>
  <si>
    <t>9021</t>
  </si>
  <si>
    <t>9022</t>
  </si>
  <si>
    <t>9030</t>
  </si>
  <si>
    <t>9031</t>
  </si>
  <si>
    <t>9032</t>
  </si>
  <si>
    <t>9081</t>
  </si>
  <si>
    <t>9090</t>
  </si>
  <si>
    <t>9120</t>
  </si>
  <si>
    <t>9200</t>
  </si>
  <si>
    <t>9210</t>
  </si>
  <si>
    <t>9220</t>
  </si>
  <si>
    <t>9240</t>
  </si>
  <si>
    <t>9250</t>
  </si>
  <si>
    <t>9280</t>
  </si>
  <si>
    <t>9302</t>
  </si>
  <si>
    <t>9320</t>
  </si>
  <si>
    <t>9350</t>
  </si>
  <si>
    <t>Result</t>
  </si>
  <si>
    <t>link to Test Year</t>
  </si>
  <si>
    <t>Adjustments:</t>
  </si>
  <si>
    <t xml:space="preserve"> Incentive</t>
  </si>
  <si>
    <t xml:space="preserve"> Wage</t>
  </si>
  <si>
    <t xml:space="preserve"> Storm Normalization</t>
  </si>
  <si>
    <t>Revenue/Expense</t>
  </si>
  <si>
    <t>Pass Thru</t>
  </si>
  <si>
    <t>Temp Normalization</t>
  </si>
  <si>
    <t>Excise Tax</t>
  </si>
  <si>
    <t>Beginning of Rate Year 2025</t>
  </si>
  <si>
    <t>model==&gt;</t>
  </si>
  <si>
    <t>O&amp;M PLAN TARGET</t>
  </si>
  <si>
    <t>O&amp;M adj</t>
  </si>
  <si>
    <t>Beginning of Rate Year 2026</t>
  </si>
  <si>
    <t>End of Rate Year 2026</t>
  </si>
  <si>
    <t>REMOVE AMR PLANT AND DEPRECIATION</t>
  </si>
  <si>
    <t>DEPRECIATION EXPENSE</t>
  </si>
  <si>
    <t>Remove AMR Plant and Depreciation</t>
  </si>
  <si>
    <t>PFG</t>
  </si>
  <si>
    <t>Net Operating Income for:</t>
  </si>
  <si>
    <t>O&amp;M 928</t>
  </si>
  <si>
    <t>Increase (Decrease) Expense</t>
  </si>
  <si>
    <t>Increase (Decrease) FIT 409.1</t>
  </si>
  <si>
    <t>Increase (Decrease) NOI</t>
  </si>
  <si>
    <t>Remove PGA Curtailment Revenue (2)</t>
  </si>
  <si>
    <t>Remove PLR Deferral (3)</t>
  </si>
  <si>
    <t>Remove AMI Return Deferral (4)</t>
  </si>
  <si>
    <t>Annualize Dist. Pipe Sch. 141D</t>
  </si>
  <si>
    <t>Annualize Rate Plan Sch. 141N</t>
  </si>
  <si>
    <t>Annualize Rate Plan Sch. 141R</t>
  </si>
  <si>
    <t>Remove Dist. Pipe Sch. 141D</t>
  </si>
  <si>
    <t>Remove Rate Plan Sch. 141N</t>
  </si>
  <si>
    <t>Remove Rate Plan Sch. 141R</t>
  </si>
  <si>
    <t>Test Year Total Adjustments</t>
  </si>
  <si>
    <t>Test Year Total Adjusted Revenue</t>
  </si>
  <si>
    <t>Gap Year Large Cust. Adjustment</t>
  </si>
  <si>
    <t>Gap Year Forecast Vol. Adjustment</t>
  </si>
  <si>
    <t>Gap Year Total Adjusted Revenue</t>
  </si>
  <si>
    <t>Rate Year 1 Deferral Adjustment</t>
  </si>
  <si>
    <t>Rate Year 1 Large Cust. Adjustment</t>
  </si>
  <si>
    <t>Rate Year 1 Forecast Vol. Adjustment</t>
  </si>
  <si>
    <t>Rate Year 1 Total Adjusted Revenue</t>
  </si>
  <si>
    <t>Rate Year 2 Large Cust. Adjustment</t>
  </si>
  <si>
    <t>Rate Year 2 Forecast Vol. Adjustment</t>
  </si>
  <si>
    <t>Rate Year 2 Total Adjusted Revenue</t>
  </si>
  <si>
    <t>REMOVE PP EDIT SCH. 141X - SALES</t>
  </si>
  <si>
    <t>REMOVE TAX REFORM SCH. 141Y - SALES</t>
  </si>
  <si>
    <t>REMOVE UP EDIT SCH. 141Z - SALES</t>
  </si>
  <si>
    <t>REMOVE CRM SCH. 149</t>
  </si>
  <si>
    <t>ANNUALIZE DIST. PIPE SCH. 141D</t>
  </si>
  <si>
    <t>ANNUALIZE RATE PLAN SCH. 141N</t>
  </si>
  <si>
    <t>ANNUALIZE RATE PLAN SCH. 141R</t>
  </si>
  <si>
    <t>REMOVE DIST. PIPE SCH. 141D</t>
  </si>
  <si>
    <t>REMOVE RATE PLAN SCH. 141N</t>
  </si>
  <si>
    <t>REMOVE RATE PLAN SCH. 141R</t>
  </si>
  <si>
    <t>REMOVE PP EDIT SCH. 141N_G - RENTALS</t>
  </si>
  <si>
    <t>REMOVE PP EDIT SCH. 141RA_G - RENTALS</t>
  </si>
  <si>
    <t>REMOVE PP EDIT SCH. 141X - RENTALS</t>
  </si>
  <si>
    <t>REMOVE TAX REFORM SCH. 141Y - RENTALS</t>
  </si>
  <si>
    <t>REMOVE ERF SCH. 141 - SALES</t>
  </si>
  <si>
    <t>REMOVE ERF SCH. 141 - RENTALS</t>
  </si>
  <si>
    <r>
      <t>ENVIRONMENTAL AMORTIZATION (</t>
    </r>
    <r>
      <rPr>
        <sz val="9"/>
        <color rgb="FF0000CC"/>
        <rFont val="Times New Roman"/>
        <family val="1"/>
      </rPr>
      <t>DEFERRED COSTS &amp; RECOVERIES</t>
    </r>
    <r>
      <rPr>
        <sz val="11"/>
        <rFont val="Times New Roman"/>
        <family val="1"/>
      </rPr>
      <t>)</t>
    </r>
  </si>
  <si>
    <t>Environmental</t>
  </si>
  <si>
    <t>INCREASE(DECREASE) IN OPERATING EXPENSE</t>
  </si>
  <si>
    <r>
      <t xml:space="preserve">CHANGES TO OTHER PRICE SCHEDULES FROM EXH. JDT-6: </t>
    </r>
    <r>
      <rPr>
        <b/>
        <i/>
        <sz val="12"/>
        <rFont val="Times New Roman"/>
        <family val="1"/>
      </rPr>
      <t xml:space="preserve"> </t>
    </r>
  </si>
  <si>
    <t>&lt;-- check detail to summary this tab</t>
  </si>
  <si>
    <t>Remove VRNG Sch. 138</t>
  </si>
  <si>
    <t>Rev / Exp</t>
  </si>
  <si>
    <t>Pass-Thru</t>
  </si>
  <si>
    <t>Temp Norm</t>
  </si>
  <si>
    <t>REMOVE SCH. 141D - SALES</t>
  </si>
  <si>
    <t>REMOVE SCH. 141N_G - SALES</t>
  </si>
  <si>
    <t>REMOVE SCH. 141RA_G - SALES</t>
  </si>
  <si>
    <t>&lt;-- check Total Adj to SEF</t>
  </si>
  <si>
    <t>Remove TY</t>
  </si>
  <si>
    <t>Deferrals</t>
  </si>
  <si>
    <t>TY Defrls</t>
  </si>
  <si>
    <t>Total PLAN per Josh/Eric</t>
  </si>
  <si>
    <t>UPPER</t>
  </si>
  <si>
    <t>PSE only O&amp;M incl Payroll Taxes and BTL</t>
  </si>
  <si>
    <t xml:space="preserve">remove </t>
  </si>
  <si>
    <t>Low Income</t>
  </si>
  <si>
    <t>APUA</t>
  </si>
  <si>
    <t>Incentive</t>
  </si>
  <si>
    <t>Payroll Taxes OH Applied</t>
  </si>
  <si>
    <t>Payroll Taxes OH Reclass</t>
  </si>
  <si>
    <t>PSE Rate Year PLAN FERCalized before Regulatory Adjustments</t>
  </si>
  <si>
    <t>TOTAL ELECTRIC + GAS Production O&amp;M</t>
  </si>
  <si>
    <t>TOTAL ELECTRIC + GAS Trans O&amp;M</t>
  </si>
  <si>
    <t>TOTAL ELECTRIC + GAS Distribution O&amp;M</t>
  </si>
  <si>
    <t>TOTAL ELECTRIC + GAS Customer Accounts O&amp;M</t>
  </si>
  <si>
    <t>TOTAL ELECTRIC + GAS Customer Service O&amp;M</t>
  </si>
  <si>
    <t>TOTAL ELECTRIC + GAS A&amp;G O&amp;M</t>
  </si>
  <si>
    <t>TOTAL ELECTRIC + GAS TOIT</t>
  </si>
  <si>
    <t>Electric TOIT</t>
  </si>
  <si>
    <t>Gas TOIT</t>
  </si>
  <si>
    <t>TOTAL ELECTRIC + GAS BTL</t>
  </si>
  <si>
    <t>Electric BTL</t>
  </si>
  <si>
    <t>Gas BTL</t>
  </si>
  <si>
    <t>CHECK</t>
  </si>
  <si>
    <t>O&amp;M</t>
  </si>
  <si>
    <t>Regulatory Adjustments</t>
  </si>
  <si>
    <t>remove Plan Pension Expense (16.51% of Ben OH)</t>
  </si>
  <si>
    <t>remove Plan Injuries and Damages</t>
  </si>
  <si>
    <t>remove Plan Incentive Pay (see above)</t>
  </si>
  <si>
    <t>remove Plan Production O&amp;M Electric</t>
  </si>
  <si>
    <t>add Power Cost Production O&amp;M from Model</t>
  </si>
  <si>
    <t>remove Plan Storm (see above)</t>
  </si>
  <si>
    <t>Include RSI from Rev/Exp, P/T, TempNorm</t>
  </si>
  <si>
    <t>RSI Bad Debt 904</t>
  </si>
  <si>
    <t>RSI Filing Fee 928</t>
  </si>
  <si>
    <t>TARGETED O&amp;M (PLAN + Reg Adjustments)</t>
  </si>
  <si>
    <t>Total IS tab (by FERC)</t>
  </si>
  <si>
    <t>TEP Removal</t>
  </si>
  <si>
    <t>REMOVE RENTALS REVENUE (1)</t>
  </si>
  <si>
    <t>REMOVE PGA CURTAILMENT REVENUE (2)</t>
  </si>
  <si>
    <t>REMOVE PLR DEFERRAL (3)</t>
  </si>
  <si>
    <t>REMOVE STORAGE RENT REVENUE (6)</t>
  </si>
  <si>
    <t>CHECK=====&gt;</t>
  </si>
  <si>
    <t>LTIP</t>
  </si>
  <si>
    <t>TLNG</t>
  </si>
  <si>
    <t>WUTC Filing Fee</t>
  </si>
  <si>
    <t>Filing Fee</t>
  </si>
  <si>
    <r>
      <t>LTIP  EXPENSE [</t>
    </r>
    <r>
      <rPr>
        <sz val="8"/>
        <color rgb="FF0000FF"/>
        <rFont val="Times New Roman"/>
        <family val="1"/>
      </rPr>
      <t>FERC 926</t>
    </r>
    <r>
      <rPr>
        <sz val="10"/>
        <color theme="1"/>
        <rFont val="Times New Roman"/>
        <family val="1"/>
      </rPr>
      <t>]</t>
    </r>
  </si>
  <si>
    <t>Orders</t>
  </si>
  <si>
    <t>Act. Costs</t>
  </si>
  <si>
    <t>Alloc Common</t>
  </si>
  <si>
    <t>Payroll Taxes</t>
  </si>
  <si>
    <t>Adj. thru Gap Year</t>
  </si>
  <si>
    <t>Adj. thru RY1</t>
  </si>
  <si>
    <t>Adj. thru RY2</t>
  </si>
  <si>
    <t xml:space="preserve">   40810002  State Excise Taxes</t>
  </si>
  <si>
    <t xml:space="preserve">   40810003  Municipal Taxes</t>
  </si>
  <si>
    <t xml:space="preserve">   40810005  Montana Electric Producer Taxes</t>
  </si>
  <si>
    <t xml:space="preserve">   40810006  Property Taxes-Washington-Electric</t>
  </si>
  <si>
    <t xml:space="preserve">   40810009  Prop Tax Sch140 Tracker Amort Defer-Elec</t>
  </si>
  <si>
    <t xml:space="preserve">   40810012  Property Taxes - Oregon</t>
  </si>
  <si>
    <t xml:space="preserve">   40810013  Property Taxes - Montana</t>
  </si>
  <si>
    <t xml:space="preserve">   40810017  Contra Montana Energy Tax</t>
  </si>
  <si>
    <t xml:space="preserve">   40810605  Oregon Commercial Activity Tax- Common</t>
  </si>
  <si>
    <t>Add Payroll Taxes</t>
  </si>
  <si>
    <t>*  Electric Taxes Other-Util Inc</t>
  </si>
  <si>
    <t xml:space="preserve">   40810302  State Excise Taxes</t>
  </si>
  <si>
    <t xml:space="preserve">   40810303  Municipal Taxes</t>
  </si>
  <si>
    <t xml:space="preserve">   40810304  Property Taxes-Washington-Gas</t>
  </si>
  <si>
    <t xml:space="preserve">   40810307  Prop Tax Sch140 Tracker Amort Defer -Gas</t>
  </si>
  <si>
    <t>*  Gas Taxes Other-Util Inc</t>
  </si>
  <si>
    <t xml:space="preserve">   40810602  Excise Taxes</t>
  </si>
  <si>
    <t>*  Common Taxes Other-Util Inc</t>
  </si>
  <si>
    <t>** Total</t>
  </si>
  <si>
    <t>Electric Check</t>
  </si>
  <si>
    <t>Gas Check</t>
  </si>
  <si>
    <t>Total Check</t>
  </si>
  <si>
    <t>Tacoma LNG</t>
  </si>
  <si>
    <t>FROM EOP ADJ</t>
  </si>
  <si>
    <t>REMOVE TEST YEAR GAS FILING FEE DEFERRAL</t>
  </si>
  <si>
    <t>Filing Fee Deferral</t>
  </si>
  <si>
    <t>INCREASE (DECREASE ) OPERATING INCOME</t>
  </si>
  <si>
    <t>CHANGE IN REVENUE SENSITIVE ITEMS FOR CHANGE IN REVENUES:</t>
  </si>
  <si>
    <t xml:space="preserve">AMI Plant Deferral </t>
  </si>
  <si>
    <t xml:space="preserve">TY Deferral removal </t>
  </si>
  <si>
    <t xml:space="preserve">CEIP deferral </t>
  </si>
  <si>
    <t>reclass to 141LNG</t>
  </si>
  <si>
    <t>reclass to 141CGR</t>
  </si>
  <si>
    <t>Beaver Creek Wind OM</t>
  </si>
  <si>
    <t>reclass to 141WF</t>
  </si>
  <si>
    <t>Wildfire Tracker</t>
  </si>
  <si>
    <t>Wildfire Insurance</t>
  </si>
  <si>
    <t>Wildfire Insurance CNS</t>
  </si>
  <si>
    <t>Colstrip Tracker</t>
  </si>
  <si>
    <t>reclass to 141TEP</t>
  </si>
  <si>
    <t>remove Plan Incentive Pay (Prod O&amp;M)</t>
  </si>
  <si>
    <t>Colstrip Revenues</t>
  </si>
  <si>
    <t>TEP Revenues</t>
  </si>
  <si>
    <t>CEIP Deferral</t>
  </si>
  <si>
    <t xml:space="preserve">less: Beg O&amp;M + RY ADJ </t>
  </si>
  <si>
    <t>SCHEDULE 141N (RATES NOT SUBJ TO REF ADJ)</t>
  </si>
  <si>
    <t>SCHEDULE 141R (RATES SUBJECT TO REF ADJ)</t>
  </si>
  <si>
    <t>NEW TARIFF SCHEDULES:</t>
  </si>
  <si>
    <t>SCHEDULE 141DCARB</t>
  </si>
  <si>
    <t>Remove Sch. 141D - Sales</t>
  </si>
  <si>
    <t>Remove Sch. 141N_G - Sales</t>
  </si>
  <si>
    <t>Remove Sch. 141N_G - Rentals</t>
  </si>
  <si>
    <t>Remove Sch. 141RA_G - Sales</t>
  </si>
  <si>
    <t>Remove Sch. 141RA_G - Rentals</t>
  </si>
  <si>
    <t>add PFG Rate Year</t>
  </si>
  <si>
    <t>add LTIP Rate Year</t>
  </si>
  <si>
    <t>Unidentified CETA Project #2 OM</t>
  </si>
  <si>
    <t>Unidentified CETA Project #1 OM</t>
  </si>
  <si>
    <t>Gas Tax Benefit of Pro Forma Interest</t>
  </si>
  <si>
    <t>Gas Effective Tax Rate</t>
  </si>
  <si>
    <t xml:space="preserve"> GasRevenue</t>
  </si>
  <si>
    <t>2025 Electric</t>
  </si>
  <si>
    <t>2026 Electric</t>
  </si>
  <si>
    <t>2025 Gas</t>
  </si>
  <si>
    <t>2026 Gas</t>
  </si>
  <si>
    <t>Income Statement Line / Period</t>
  </si>
  <si>
    <t>RSI Bad Debt 904 - CUSTOMER ACCTS EXPENSES</t>
  </si>
  <si>
    <t>Gap</t>
  </si>
  <si>
    <t>RY1</t>
  </si>
  <si>
    <t>RY2</t>
  </si>
  <si>
    <t>Total Rev/Exp</t>
  </si>
  <si>
    <t>RSI Filing Fee 928 - ADMIN &amp; GENERAL EXPENSE</t>
  </si>
  <si>
    <t>AMI Adjustment</t>
  </si>
  <si>
    <t>AMI Deferral</t>
  </si>
  <si>
    <t>EV Deferral</t>
  </si>
  <si>
    <t>Cumulative</t>
  </si>
  <si>
    <t>Taxable Revenue</t>
  </si>
  <si>
    <t>Filing Fee Rate</t>
  </si>
  <si>
    <t>Immaterial</t>
  </si>
  <si>
    <t>Taxes at full rate</t>
  </si>
  <si>
    <t>Exemption</t>
  </si>
  <si>
    <t>Exemption rate</t>
  </si>
  <si>
    <t>Exemption Revenue</t>
  </si>
  <si>
    <t>Total Filing Fee</t>
  </si>
  <si>
    <t>Test Year Retail Revenues</t>
  </si>
  <si>
    <t>Test Year Other Revenues</t>
  </si>
  <si>
    <t>$50,000 Exemption</t>
  </si>
  <si>
    <t>Revenue Adjustment</t>
  </si>
  <si>
    <t>Pass-Through Adjustment</t>
  </si>
  <si>
    <t>Total Revenues</t>
  </si>
  <si>
    <t>UTC Filing Fee Adjustment</t>
  </si>
  <si>
    <t>Gas Filing Fee</t>
  </si>
  <si>
    <t>Gas Bad Debt Expense</t>
  </si>
  <si>
    <t>Bad Debt Expense Adjustment</t>
  </si>
  <si>
    <t>Revenue</t>
  </si>
  <si>
    <t>Bad Debt Rate</t>
  </si>
  <si>
    <t>Bad Debt Expense</t>
  </si>
  <si>
    <t>EV/LNG</t>
  </si>
  <si>
    <t>EV/LNG Adjustment</t>
  </si>
  <si>
    <t>reclass to 141DCARB</t>
  </si>
  <si>
    <t>Decarb</t>
  </si>
  <si>
    <t>Remove VRNG Sch. 138 Offset</t>
  </si>
  <si>
    <t>2022 GRC Adjustment (1)</t>
  </si>
  <si>
    <t>Large Customer Adjustment (2)</t>
  </si>
  <si>
    <t>Puget LNG Adjustment (3)</t>
  </si>
  <si>
    <t>2022 GRC ADJUSTMENT (1)</t>
  </si>
  <si>
    <t>LARGE CUSTOMER ADJUSTMENT (2)</t>
  </si>
  <si>
    <t>(1) 2022 GRC rates effective January 7, 2023 (UG-220067)</t>
  </si>
  <si>
    <t>(2) Adjustment to remove large Sch. 87T customer shutting down operations in 2023.</t>
  </si>
  <si>
    <t>(3) Adjustment to move Puget LNG revenues from Sch. 87T to proposed Sch. 88T.</t>
  </si>
  <si>
    <t>&lt;-- check Total gas costs</t>
  </si>
  <si>
    <t>&lt;-- check Adjs to gas costs to Model</t>
  </si>
  <si>
    <r>
      <t xml:space="preserve">Check </t>
    </r>
    <r>
      <rPr>
        <b/>
        <sz val="9"/>
        <color rgb="FF0000FF"/>
        <rFont val="Calibri"/>
        <family val="2"/>
        <scheme val="minor"/>
      </rPr>
      <t>Sales</t>
    </r>
    <r>
      <rPr>
        <sz val="9"/>
        <color rgb="FFFF0000"/>
        <rFont val="Calibri"/>
        <family val="2"/>
        <scheme val="minor"/>
      </rPr>
      <t xml:space="preserve"> Total Revenue per SEF to JDT Exhibit ---&gt;</t>
    </r>
  </si>
  <si>
    <r>
      <t xml:space="preserve">Check </t>
    </r>
    <r>
      <rPr>
        <b/>
        <sz val="9"/>
        <color rgb="FF0000FF"/>
        <rFont val="Calibri"/>
        <family val="2"/>
        <scheme val="minor"/>
      </rPr>
      <t>Sales</t>
    </r>
    <r>
      <rPr>
        <sz val="9"/>
        <color rgb="FFFF0000"/>
        <rFont val="Calibri"/>
        <family val="2"/>
        <scheme val="minor"/>
      </rPr>
      <t xml:space="preserve"> Adjustments to JDT Exhibit ---&gt;</t>
    </r>
  </si>
  <si>
    <t>includes CNS offset</t>
  </si>
  <si>
    <t>EV, Green Power, TLNG Payroll Taxes removed above</t>
  </si>
  <si>
    <t>REMOVE TEST YEAR ENTRIES FOR DEPRECIATION DEFERRAL</t>
  </si>
  <si>
    <t>TEST YEAR ENTRIES FOR O&amp;M DEFERRAL (NOTE 1)</t>
  </si>
  <si>
    <t xml:space="preserve">FERC ACCOUNTS (FERC 842, ETC.). THEREFORE, NO REMOVAL IS NECESSARY AS THEY </t>
  </si>
  <si>
    <t>NET TO ZERO WITH THE ORIGINATING ENTRIES RECOGNIZED WITHIN THE SAME FERC ACCOUNTS</t>
  </si>
  <si>
    <t>AND ARE FURTHER ADJUSTED TO ZERO IN THE O&amp;M ADJUSTMENT.</t>
  </si>
  <si>
    <t>REMOVE DEPRECIATION EXPENSE</t>
  </si>
  <si>
    <t>LNG Deferral</t>
  </si>
  <si>
    <t>REMOVE CARBON OFFSET 4081 EXPENSE - SCHEDULE 137</t>
  </si>
  <si>
    <t>REMOVE CARBON OFFSET 926 EXPENSE - SCHEDULE 137</t>
  </si>
  <si>
    <t>REMOVE CARBON OFFSET 4081 EXPENSE - SCHEDULE 138</t>
  </si>
  <si>
    <t>REMOVE CARBON OFFSET 926 EXPENSE - SCHEDULE 138</t>
  </si>
  <si>
    <t>PUGET SOUND ENERGY - NET OPERATING INCOME AND RATE BASE BY ADJUSTMENT</t>
  </si>
  <si>
    <t>Natural Gas NOI</t>
  </si>
  <si>
    <t>Natural Gas RATE BASE</t>
  </si>
  <si>
    <t>6&amp;11.01</t>
  </si>
  <si>
    <t>Revenues And Expenses</t>
  </si>
  <si>
    <t>6&amp;11.02</t>
  </si>
  <si>
    <t>Pass-Through Revenue &amp; Expense</t>
  </si>
  <si>
    <t>6&amp;11.03</t>
  </si>
  <si>
    <t>Temperature Normalization</t>
  </si>
  <si>
    <t>6&amp;11.04</t>
  </si>
  <si>
    <t>Federal Income Tax</t>
  </si>
  <si>
    <t>6&amp;11.05</t>
  </si>
  <si>
    <t>Tax Benefit Of Interest</t>
  </si>
  <si>
    <t>6&amp;11.06</t>
  </si>
  <si>
    <t>6&amp;11.07</t>
  </si>
  <si>
    <t>Rate Case Expense</t>
  </si>
  <si>
    <t>6&amp;11.08</t>
  </si>
  <si>
    <t xml:space="preserve">Excise Tax </t>
  </si>
  <si>
    <t>6&amp;11.09</t>
  </si>
  <si>
    <t>6&amp;11.10</t>
  </si>
  <si>
    <t>Injuries &amp; Damages</t>
  </si>
  <si>
    <t>6&amp;11.11</t>
  </si>
  <si>
    <t>Incentive Pay</t>
  </si>
  <si>
    <t>6&amp;11.12</t>
  </si>
  <si>
    <t>6&amp;11.13</t>
  </si>
  <si>
    <t>Interest On  Customer Deposits</t>
  </si>
  <si>
    <t>6&amp;11.14</t>
  </si>
  <si>
    <t>Property And Liab Insurance</t>
  </si>
  <si>
    <t>6&amp;11.15</t>
  </si>
  <si>
    <t>Deferred Gains And Losses On Property Sales</t>
  </si>
  <si>
    <t>6&amp;11.16</t>
  </si>
  <si>
    <t>D&amp;O Insurance</t>
  </si>
  <si>
    <t>6&amp;11.17</t>
  </si>
  <si>
    <t>Pension Plan</t>
  </si>
  <si>
    <t>6&amp;11.18</t>
  </si>
  <si>
    <t>Wage Increase</t>
  </si>
  <si>
    <t>6&amp;11.19</t>
  </si>
  <si>
    <t>AMA To EOP Rate Base</t>
  </si>
  <si>
    <t>6&amp;11.20</t>
  </si>
  <si>
    <t>6&amp;11.21</t>
  </si>
  <si>
    <t>6&amp;11.22</t>
  </si>
  <si>
    <t>Pro Forma O&amp;M</t>
  </si>
  <si>
    <t>6&amp;11.23</t>
  </si>
  <si>
    <t>6&amp;11.24</t>
  </si>
  <si>
    <t>AMI Plant And Deferral</t>
  </si>
  <si>
    <t>6&amp;11.25</t>
  </si>
  <si>
    <t>6&amp;11.26</t>
  </si>
  <si>
    <t>Environmental Remediation</t>
  </si>
  <si>
    <t>6&amp;11.27</t>
  </si>
  <si>
    <t>6&amp;11.28</t>
  </si>
  <si>
    <t>Estimated Plant Retirements Rate Base</t>
  </si>
  <si>
    <t>6&amp;11.29</t>
  </si>
  <si>
    <t>Test Year Plant Roll Forward</t>
  </si>
  <si>
    <t>6&amp;11.30</t>
  </si>
  <si>
    <t>Provisional Proforma Retirements Depreciation</t>
  </si>
  <si>
    <t>6&amp;11.31</t>
  </si>
  <si>
    <t>Programmatic Provisional Proforma</t>
  </si>
  <si>
    <t>6&amp;11.32</t>
  </si>
  <si>
    <t>Customer Driven Programmatic Provisional Proforma</t>
  </si>
  <si>
    <t>6&amp;11.33</t>
  </si>
  <si>
    <t>Specific Provisional Proforma</t>
  </si>
  <si>
    <t>6&amp;11.34</t>
  </si>
  <si>
    <t>Projected Provisional Proforma</t>
  </si>
  <si>
    <t>Change To Base Rates</t>
  </si>
  <si>
    <t>Check</t>
  </si>
  <si>
    <t>PUGET SOUND ENERGY - NET REVENUE CHANGE BY ADJUSTMENT</t>
  </si>
  <si>
    <t>Increased Rate Of Return</t>
  </si>
  <si>
    <t>Adjustments To Other Price Schedules</t>
  </si>
  <si>
    <t>Net Revenue Change</t>
  </si>
  <si>
    <t>Check Change to Base Rates</t>
  </si>
  <si>
    <t>Check Net Revenue Change</t>
  </si>
  <si>
    <t>Remove Test Year Deferrals</t>
  </si>
  <si>
    <t>Regulatory Filing Fee Deferral</t>
  </si>
  <si>
    <t>6&amp;11.35</t>
  </si>
  <si>
    <t>6&amp;11.36</t>
  </si>
  <si>
    <t>6&amp;11.37</t>
  </si>
  <si>
    <t>Gas Regulatory Assets &amp; Liab</t>
  </si>
  <si>
    <t>Tacoma LNG Plant and Deferral - Removal</t>
  </si>
  <si>
    <t>AMORTIZATION EXPENSE</t>
  </si>
  <si>
    <t>REMOVE TEST YEAR LNG RETURN DEFERRAL ENTRIES</t>
  </si>
  <si>
    <t>OPERATING REVENUES (FINANCIAL STATEMENT SIGN)</t>
  </si>
  <si>
    <t>OPERATING EXPENSES  (FINANCIAL STATEMENT SIGN)</t>
  </si>
  <si>
    <t>Colstrip Removal (Electric) / LNG Rtrn Dfrl Rmvl (Gas)</t>
  </si>
  <si>
    <t>ACCUMULATED DEPRECIATION</t>
  </si>
  <si>
    <t>ACCUMULATED AMORTIZATION</t>
  </si>
  <si>
    <t xml:space="preserve">TOTAL NET PLANT </t>
  </si>
  <si>
    <t>EXPENSES (FINANCIAL STATEMENT SIGN):</t>
  </si>
  <si>
    <t>REMOVAL OF TACOMA LNG PROJECT 4 MILE 16-INCH PIPELINE</t>
  </si>
  <si>
    <t>Remove Sch. 141D - Revenue Reserve</t>
  </si>
  <si>
    <t>ORDER</t>
  </si>
  <si>
    <t>ORDER DESCRIPTION</t>
  </si>
  <si>
    <t>AMOUNT</t>
  </si>
  <si>
    <t>&lt;---- Debit on the General Ledger - increase revenues to remove</t>
  </si>
  <si>
    <t>TACOMA LNG UPGRADES DEP DEF &gt; 9/2020 (NOTE 1)</t>
  </si>
  <si>
    <t>9800 - GTZ DEPR EXP DEFERRAL (NOTE 1)</t>
  </si>
  <si>
    <t xml:space="preserve">(NOTE 1) THESE DEFERRALS WERE APPROVED FOR RECOVERY IN THE PRIOR RATE CASE; THEIR </t>
  </si>
  <si>
    <t xml:space="preserve">RATE BASE AND AMORTIZATION ADJUSTMENTS ARE INCLUDED IN THE </t>
  </si>
  <si>
    <t xml:space="preserve">REGULATORY ASSETS AND LIABILITIES ADJUSTMENT. THESE ADJUSTMENTS REVERSE THE </t>
  </si>
  <si>
    <t>DEFERRAL ENTRIES THAT OCCURRED IN THE TEST YEAR.</t>
  </si>
  <si>
    <t>Removed by John Taylor</t>
  </si>
  <si>
    <t>One month left as regulatory asset fully amortizes by January 2026</t>
  </si>
  <si>
    <t>The Equity Return deferral for AMI is being requested for recovery, so need to remove test year deferrals.</t>
  </si>
  <si>
    <t>LNG decision is still outstanding and rate recovery is requested outside of a GRC, so need to remove test year deferral entries.</t>
  </si>
  <si>
    <t>Schedule 141D reserve entries need to be removed as Schedule 141D and related costs of 16 inch 4 mile distribution pipe related to the Tacoma LNG project are not being requested in this proceeding.</t>
  </si>
  <si>
    <t>Zero by end because fully amortized in September 2023.</t>
  </si>
  <si>
    <t>4073NEW ENV</t>
  </si>
  <si>
    <t>New Env Rem Costs</t>
  </si>
  <si>
    <t>New Env Rem Proceeds</t>
  </si>
  <si>
    <t>New tranche of Env Rem amortization</t>
  </si>
  <si>
    <t>Full Amortization because Env Rem tranche does not fully amortize until 2027</t>
  </si>
  <si>
    <t>This tranche of Env Rem is fully amortized by 2026</t>
  </si>
  <si>
    <t>One month of amortization left. Fully amortizes in January 2026.</t>
  </si>
  <si>
    <t>Full Amortization because does not fully amortize until January 2027</t>
  </si>
  <si>
    <t>Deferral was approved for recovery, therefore, test year deferral entries should be removed.</t>
  </si>
  <si>
    <t>4074NEW RegFee</t>
  </si>
  <si>
    <t>New Reg Fee Amortization</t>
  </si>
  <si>
    <t>Reg Fee Deferral is being requested for recovery, therefore, test year deferral entries should be removed.</t>
  </si>
  <si>
    <t>New amortizaton for reg fee deferral</t>
  </si>
  <si>
    <t>Offsetting entry is to purchased gas costs. Those entries and the entries to this account are removed.</t>
  </si>
  <si>
    <t xml:space="preserve"> Zero by end because fully amortized in September 2023.</t>
  </si>
  <si>
    <t>LNG is requested for recovery outside of a GRC and the Commission has not yet approved the filing. All Tacoma LNG costs and revenues are being removed.</t>
  </si>
  <si>
    <t>Def G/L</t>
  </si>
  <si>
    <t>Reset amortization for new / fully amortized deferred gains and losses.</t>
  </si>
  <si>
    <t>Removal of Tacoma LNG Project 4 Mile 16-Inch Pipeline</t>
  </si>
  <si>
    <t>Per JDT-XX</t>
  </si>
  <si>
    <t>Remove CCA Deferral - other side removed with PGA (row 7)</t>
  </si>
  <si>
    <t>Weather Normalization Adjustment - Restating</t>
  </si>
  <si>
    <t>Weather Normalization Adjustment - Proforma</t>
  </si>
  <si>
    <t xml:space="preserve">(NOTE 1) TEST YEAR ENTRIES TO DEFER TACOMA LNG O&amp;M WERE BOOKED TO THE ORIGINATING </t>
  </si>
  <si>
    <t>(NOTE 1) INSURANCE PREMIUMS RELATED TO WILDFIRE COVERAGE ARE INCLUDED IN THESE RESTATING / PROFORMA ADJUSTMENTS</t>
  </si>
  <si>
    <t>THESE PREMIUMS ARE REMOVED FROM THE REVENUE REQUIREMENT IN THE O&amp;M ADJUSTMENT, AS O&amp;M AMOUNTS FOR 2025 AND 2026 DO NOT CONTAIN WILDFIRE PREMIUMS.</t>
  </si>
  <si>
    <t>WILDFIRE PREMIUMS FOR THE RATE YEARS ARE SEPARATELY ESTIMATED AND REQUESTED FOR RECOVERY IN A SEPARATE RATE SCHEDULE, SCHEDULE 141WFD</t>
  </si>
  <si>
    <t>LIABILITY INSURANCE EXPENSE (NOTE 1)</t>
  </si>
  <si>
    <t>CURRENT TARIFF RATES TRANSFERRED TO BASE RATES ABOVE:</t>
  </si>
  <si>
    <t>PROVISIONAL PROFORMA ADJUSTMENTS</t>
  </si>
  <si>
    <t>4073NEW AMI Equity</t>
  </si>
  <si>
    <t>AMI Equity Return Deferral Amortization</t>
  </si>
  <si>
    <t>New requested amortization for AMI Equity Return Deferral</t>
  </si>
  <si>
    <t>AMI Eqty Rtrn</t>
  </si>
  <si>
    <t>PARTICIPATORY FUNDING GRANTS</t>
  </si>
  <si>
    <t>CETA DR PPA DEFERRALS</t>
  </si>
  <si>
    <t>CEIP DEFERRAL</t>
  </si>
  <si>
    <t>Open C1</t>
  </si>
  <si>
    <t>Open C2</t>
  </si>
  <si>
    <t>Open C3</t>
  </si>
  <si>
    <t>Open C4</t>
  </si>
  <si>
    <t>Open C5</t>
  </si>
  <si>
    <t>Open C6</t>
  </si>
  <si>
    <t>Open C7</t>
  </si>
  <si>
    <t>Open C8</t>
  </si>
  <si>
    <t>Open C9</t>
  </si>
  <si>
    <t>Open C10</t>
  </si>
  <si>
    <t>Open C11</t>
  </si>
  <si>
    <t>Open C12</t>
  </si>
  <si>
    <t>Open C13</t>
  </si>
  <si>
    <t>Open E1</t>
  </si>
  <si>
    <t>Open E2</t>
  </si>
  <si>
    <t>Open E3</t>
  </si>
  <si>
    <t>Open E4</t>
  </si>
  <si>
    <t>Open E5</t>
  </si>
  <si>
    <t>Open E6</t>
  </si>
  <si>
    <t>Open E7</t>
  </si>
  <si>
    <t>Open G1</t>
  </si>
  <si>
    <t>Open G2</t>
  </si>
  <si>
    <t>Open G3</t>
  </si>
  <si>
    <t>Open G4</t>
  </si>
  <si>
    <t>Open G5</t>
  </si>
  <si>
    <t>Open G6</t>
  </si>
  <si>
    <t>Open G7</t>
  </si>
  <si>
    <t>Open G8</t>
  </si>
  <si>
    <t>Open G9</t>
  </si>
  <si>
    <t>FOR INPUT INTO DETAILED SUMMARY:</t>
  </si>
  <si>
    <t>BALANCE OF REGULATORY ASSET OR LIABILITY</t>
  </si>
  <si>
    <r>
      <t>UNPROTECTED EDIT (</t>
    </r>
    <r>
      <rPr>
        <sz val="10"/>
        <color rgb="FF0000FF"/>
        <rFont val="Times New Roman"/>
        <family val="1"/>
      </rPr>
      <t>End Sept 2023</t>
    </r>
    <r>
      <rPr>
        <sz val="10"/>
        <rFont val="Times New Roman"/>
        <family val="1"/>
      </rPr>
      <t>)</t>
    </r>
  </si>
  <si>
    <r>
      <t>AMI- DEPRECIATION (</t>
    </r>
    <r>
      <rPr>
        <sz val="10"/>
        <color rgb="FF0000FF"/>
        <rFont val="Times New Roman"/>
        <family val="1"/>
      </rPr>
      <t>End Sept 2023, Jan 2026</t>
    </r>
    <r>
      <rPr>
        <sz val="10"/>
        <rFont val="Times New Roman"/>
        <family val="1"/>
      </rPr>
      <t>)</t>
    </r>
  </si>
  <si>
    <r>
      <t>GTZ- DEPRECIATION (</t>
    </r>
    <r>
      <rPr>
        <sz val="10"/>
        <color rgb="FF0000FF"/>
        <rFont val="Times New Roman"/>
        <family val="1"/>
      </rPr>
      <t>End Sept 2023, Jan 2026 &amp; 2027</t>
    </r>
    <r>
      <rPr>
        <sz val="10"/>
        <rFont val="Times New Roman"/>
        <family val="1"/>
      </rPr>
      <t>)</t>
    </r>
  </si>
  <si>
    <r>
      <t>AMR- UG-220067 (</t>
    </r>
    <r>
      <rPr>
        <sz val="10"/>
        <color rgb="FF0000FF"/>
        <rFont val="Times New Roman"/>
        <family val="1"/>
      </rPr>
      <t>End Nov 2043</t>
    </r>
    <r>
      <rPr>
        <sz val="10"/>
        <rFont val="Times New Roman"/>
        <family val="1"/>
      </rPr>
      <t>)</t>
    </r>
  </si>
  <si>
    <r>
      <t>EDIT (PRODUCTION AND NON-PRODUCTION) (</t>
    </r>
    <r>
      <rPr>
        <sz val="10"/>
        <color rgb="FF0000FF"/>
        <rFont val="Times New Roman"/>
        <family val="1"/>
      </rPr>
      <t>End Sept 2023</t>
    </r>
    <r>
      <rPr>
        <sz val="10"/>
        <rFont val="Times New Roman"/>
        <family val="1"/>
      </rPr>
      <t>)</t>
    </r>
  </si>
  <si>
    <r>
      <t>LNG UPGRADE- DEPRECIATION DEF UG-220067 (FERC 407.3) (</t>
    </r>
    <r>
      <rPr>
        <sz val="10"/>
        <color rgb="FF0000FF"/>
        <rFont val="Times New Roman"/>
        <family val="1"/>
      </rPr>
      <t>End Jan 2026</t>
    </r>
    <r>
      <rPr>
        <sz val="10"/>
        <rFont val="Times New Roman"/>
        <family val="1"/>
      </rPr>
      <t>)</t>
    </r>
  </si>
  <si>
    <r>
      <t>LNG UPGRADE- RETURN DEF UG-220067 (FERC 495) (</t>
    </r>
    <r>
      <rPr>
        <sz val="10"/>
        <color rgb="FF0000FF"/>
        <rFont val="Times New Roman"/>
        <family val="1"/>
      </rPr>
      <t>End Jan 2026</t>
    </r>
    <r>
      <rPr>
        <sz val="10"/>
        <rFont val="Times New Roman"/>
        <family val="1"/>
      </rPr>
      <t xml:space="preserve">) </t>
    </r>
    <r>
      <rPr>
        <sz val="10"/>
        <color rgb="FFFF0000"/>
        <rFont val="Times New Roman"/>
        <family val="1"/>
      </rPr>
      <t>Revenue Line</t>
    </r>
  </si>
  <si>
    <r>
      <t>AMI- DEPRECIATION UG-190530 (FERC 407.4) (</t>
    </r>
    <r>
      <rPr>
        <sz val="10"/>
        <color rgb="FF0000FF"/>
        <rFont val="Times New Roman"/>
        <family val="1"/>
      </rPr>
      <t>End Sept 2023</t>
    </r>
    <r>
      <rPr>
        <sz val="10"/>
        <rFont val="Times New Roman"/>
        <family val="1"/>
      </rPr>
      <t>)</t>
    </r>
  </si>
  <si>
    <r>
      <t>AMI- DEPRECIATION UG-220067 (FERC 407.3) (</t>
    </r>
    <r>
      <rPr>
        <sz val="10"/>
        <color rgb="FF0000FF"/>
        <rFont val="Times New Roman"/>
        <family val="1"/>
      </rPr>
      <t>End Jan 2026</t>
    </r>
    <r>
      <rPr>
        <sz val="10"/>
        <rFont val="Times New Roman"/>
        <family val="1"/>
      </rPr>
      <t>)</t>
    </r>
  </si>
  <si>
    <r>
      <t>AMI- RETURN ON DEBT EQUITY UG-220067 (FERC 495) (</t>
    </r>
    <r>
      <rPr>
        <sz val="10"/>
        <color rgb="FF0000FF"/>
        <rFont val="Times New Roman"/>
        <family val="1"/>
      </rPr>
      <t>End Jan 2026</t>
    </r>
    <r>
      <rPr>
        <sz val="10"/>
        <rFont val="Times New Roman"/>
        <family val="1"/>
      </rPr>
      <t xml:space="preserve">) </t>
    </r>
    <r>
      <rPr>
        <sz val="10"/>
        <color rgb="FFFF0000"/>
        <rFont val="Times New Roman"/>
        <family val="1"/>
      </rPr>
      <t>Revenue line</t>
    </r>
  </si>
  <si>
    <r>
      <t>GTZ- T1 DEPRECIATION UG-190530 (FERC 407.3) (</t>
    </r>
    <r>
      <rPr>
        <sz val="10"/>
        <color rgb="FF0000FF"/>
        <rFont val="Times New Roman"/>
        <family val="1"/>
      </rPr>
      <t>End Sept 2023</t>
    </r>
    <r>
      <rPr>
        <sz val="10"/>
        <rFont val="Times New Roman"/>
        <family val="1"/>
      </rPr>
      <t>)</t>
    </r>
  </si>
  <si>
    <r>
      <t>GTZ- T1 CARRYING CHARGES UG-190530 (FERC 407.3) (</t>
    </r>
    <r>
      <rPr>
        <sz val="10"/>
        <color rgb="FF0000FF"/>
        <rFont val="Times New Roman"/>
        <family val="1"/>
      </rPr>
      <t>End Sept 2023</t>
    </r>
    <r>
      <rPr>
        <sz val="10"/>
        <rFont val="Times New Roman"/>
        <family val="1"/>
      </rPr>
      <t>)</t>
    </r>
  </si>
  <si>
    <r>
      <t>GTZ- T1a DEPRECIATION UG-220067 (FERC 407.3) (</t>
    </r>
    <r>
      <rPr>
        <sz val="10"/>
        <color rgb="FF0000FF"/>
        <rFont val="Times New Roman"/>
        <family val="1"/>
      </rPr>
      <t>End Jan 2026</t>
    </r>
    <r>
      <rPr>
        <sz val="10"/>
        <rFont val="Times New Roman"/>
        <family val="1"/>
      </rPr>
      <t>)</t>
    </r>
  </si>
  <si>
    <r>
      <t>GTZ- T1a CARRYING CHARGES UG-220067 (FERC 407.3) (</t>
    </r>
    <r>
      <rPr>
        <sz val="10"/>
        <color rgb="FF0000FF"/>
        <rFont val="Times New Roman"/>
        <family val="1"/>
      </rPr>
      <t>End Jan 2026</t>
    </r>
    <r>
      <rPr>
        <sz val="10"/>
        <rFont val="Times New Roman"/>
        <family val="1"/>
      </rPr>
      <t>)</t>
    </r>
  </si>
  <si>
    <r>
      <t>GTZ- T2 DEPRECIATION UG-220067 (FERC 407.3) (</t>
    </r>
    <r>
      <rPr>
        <sz val="10"/>
        <color rgb="FF0000FF"/>
        <rFont val="Times New Roman"/>
        <family val="1"/>
      </rPr>
      <t>End Jan 2027</t>
    </r>
    <r>
      <rPr>
        <sz val="10"/>
        <rFont val="Times New Roman"/>
        <family val="1"/>
      </rPr>
      <t>)</t>
    </r>
  </si>
  <si>
    <r>
      <t>GTZ- T2 CARRYING CHARGES UG-220067 (FERC 407.3) (</t>
    </r>
    <r>
      <rPr>
        <sz val="10"/>
        <color rgb="FF0000FF"/>
        <rFont val="Times New Roman"/>
        <family val="1"/>
      </rPr>
      <t>End Jan 2027</t>
    </r>
    <r>
      <rPr>
        <sz val="10"/>
        <rFont val="Times New Roman"/>
        <family val="1"/>
      </rPr>
      <t>)</t>
    </r>
  </si>
  <si>
    <t xml:space="preserve">(NOTE 1) THE ADJUSTMENTS FOR AMORTIZATION OF UNPROTECTED EDIT RELATED REGULATORY ASSETS AND LIABILITIES IS </t>
  </si>
  <si>
    <t>HANDLED THROUGH ANNUAL FILINGS AND NOT A PART OF THIS GENERAL RATE CASE AND IS REMOVED IN THE FIT ADJUSTMENT</t>
  </si>
  <si>
    <t>Participatory Funding Grants</t>
  </si>
  <si>
    <t>Cross Check to Gas Model</t>
  </si>
  <si>
    <t>Match?</t>
  </si>
  <si>
    <t>&lt;------ When adding a new adjustment, need to change the starting point for electric only and gas only adjustments</t>
  </si>
  <si>
    <t>Note 1 2022 GRC rates effective January 7, 2023 (UG-220067)</t>
  </si>
  <si>
    <t>Note 2 Adjustment to remove large Sch. 87T customer shutting down operations in 2023.</t>
  </si>
  <si>
    <t>Note 3 Adjustment to move Puget LNG revenues from Sch. 87T to proposed Sch. 88T.</t>
  </si>
  <si>
    <t>&lt;=== links to JDT-6</t>
  </si>
  <si>
    <t>Exh. SEF-10 page __ of __</t>
  </si>
  <si>
    <t> ✔</t>
  </si>
  <si>
    <t>REMOVE SCH. 141D REVENUE RESERVE</t>
  </si>
  <si>
    <t>11.29, 11.30, 11.31, 11.32</t>
  </si>
  <si>
    <t>PROGRAMMATC (ADJUSTMENT 11.29)</t>
  </si>
  <si>
    <t>CUSTOMER DRIVEN PROGRAMMATIC PROVISIONAL PROFORMA (ADJUSTMENT 11.30)</t>
  </si>
  <si>
    <t>SPECIFIC (ADJUSTMENT 11.31)</t>
  </si>
  <si>
    <t>PROJECTED (ADJUSTMENT 11.32)</t>
  </si>
  <si>
    <t>O&amp;M DEFERRAL</t>
  </si>
  <si>
    <t>ACCUM AMORT ON O&amp;M DEFERRAL</t>
  </si>
  <si>
    <t xml:space="preserve">DFIT ON O&amp;M DEFERRAL </t>
  </si>
  <si>
    <t>ROR</t>
  </si>
  <si>
    <t>Surplus / (Deficiency)</t>
  </si>
  <si>
    <t>2026 Increased Rate of Return Calculation</t>
  </si>
  <si>
    <t>Rev. Requirement or (Surplus)</t>
  </si>
  <si>
    <t>TARGETED ELECTRIFICATION ACTIVITIES DEFERRAL AMORTIZATION</t>
  </si>
  <si>
    <t>Targeted Electrification Activities Deferral Amortization</t>
  </si>
  <si>
    <t>Natural Gas NOI BUILDUP FOR 2025</t>
  </si>
  <si>
    <t>Natural Gas RATE BASE BUILDUP FOR 2025</t>
  </si>
  <si>
    <t>Adj. No.
(a)</t>
  </si>
  <si>
    <t>Adjustment Description
(b)</t>
  </si>
  <si>
    <t>Test Year
(c)</t>
  </si>
  <si>
    <t>Proforma
(d)</t>
  </si>
  <si>
    <t>2024
(e)</t>
  </si>
  <si>
    <t>2025
(f)</t>
  </si>
  <si>
    <t>2025
(g)=∑(c) thru (f)</t>
  </si>
  <si>
    <t>2026
(h)</t>
  </si>
  <si>
    <t>Test Year
(i)</t>
  </si>
  <si>
    <t>Proforma
(j)</t>
  </si>
  <si>
    <t>2024
(k)</t>
  </si>
  <si>
    <t>2025
(l)</t>
  </si>
  <si>
    <t>2025
(m)=∑(i) thru (l)</t>
  </si>
  <si>
    <t>2026
(n)</t>
  </si>
  <si>
    <t>--</t>
  </si>
  <si>
    <t>SHORT TERM DEBT</t>
  </si>
  <si>
    <t>LONG TERM DEBT</t>
  </si>
  <si>
    <t>STAFF COST OF CAPITAL</t>
  </si>
  <si>
    <t>*SEF-6E-11G-OM-24GRC-02-2024_Staff-CRM</t>
  </si>
  <si>
    <t>Tab O&amp;M</t>
  </si>
  <si>
    <t>S-11.41</t>
  </si>
  <si>
    <t>FORECAST VOL. ADJUSTMENT  (Watkins)</t>
  </si>
  <si>
    <t>TOTAL ELECTRIC  O&amp;M</t>
  </si>
  <si>
    <t>TOTAL ELECTRIC Trans O&amp;M</t>
  </si>
  <si>
    <t>TOTAL ELECTRIC Distribution O&amp;M</t>
  </si>
  <si>
    <t>TOTAL ELECTRIC Customer Accounts O&amp;M</t>
  </si>
  <si>
    <t>TOTAL ELECTRIC Customer Service O&amp;M</t>
  </si>
  <si>
    <t>TOTAL ELECTRIC A&amp;G O&amp;M</t>
  </si>
  <si>
    <t>TOTAL GAS Production O&amp;M</t>
  </si>
  <si>
    <t>TOTAL GAS Trans O&amp;M</t>
  </si>
  <si>
    <t>TOTAL GAS Distribution O&amp;M</t>
  </si>
  <si>
    <t>TOTAL  GAS Customer Accounts O&amp;M</t>
  </si>
  <si>
    <t>TOTAL GAS Customer Service O&amp;M</t>
  </si>
  <si>
    <t>TOTAL GAS A&amp;G O&amp;M</t>
  </si>
  <si>
    <t>2025 Electric*</t>
  </si>
  <si>
    <t>2025 Gas*</t>
  </si>
  <si>
    <t>Staff Analysis</t>
  </si>
  <si>
    <t>Staff</t>
  </si>
  <si>
    <t>Revenue Deficiency - Grossed Up</t>
  </si>
  <si>
    <t>Deficiencies for Trackers</t>
  </si>
  <si>
    <t>Total Revenue Rate Change</t>
  </si>
  <si>
    <t>PSE</t>
  </si>
  <si>
    <t>RESTORE DCARB TRACKER COSTS</t>
  </si>
  <si>
    <t>COMPARISION OF REVENUE AND RATE CHANGE</t>
  </si>
  <si>
    <t>STAFF TO COMPANY</t>
  </si>
  <si>
    <t>UG-240005</t>
  </si>
  <si>
    <t>PUGET SOUND ENERGY - NATURAL GAS</t>
  </si>
  <si>
    <t>FILTERED TO SHOW ONLY RELAVANT STAFF ADJUSTMENTS</t>
  </si>
  <si>
    <t>DPK-7 page 2 of  5</t>
  </si>
  <si>
    <t>EXH. DPK-7 page 1 of  5</t>
  </si>
  <si>
    <t>EXH. DPK-7 page 3 of  5</t>
  </si>
  <si>
    <t>EXH. DPK-7 page 5 of  5</t>
  </si>
  <si>
    <t>EXH. DPK-8</t>
  </si>
  <si>
    <t>EXH. DPK-7 page 4 of  5</t>
  </si>
  <si>
    <t>Rate schedules set to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</si>
</sst>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00_);_(* \(#,##0.000000\);_(* &quot;-&quot;??_);_(@_)"/>
    <numFmt numFmtId="165" formatCode="_(* #,##0_);_(* \(#,##0\);_(* &quot;-&quot;??_);_(@_)"/>
    <numFmt numFmtId="166" formatCode="_(&quot;$&quot;* #,##0_);_(&quot;$&quot;* \(#,##0\);_(&quot;$&quot;* &quot;-&quot;??_);_(@_)"/>
    <numFmt numFmtId="167" formatCode="&quot;$&quot;#,##0"/>
    <numFmt numFmtId="168" formatCode="_(&quot;$&quot;* #,##0_);[Red]_(&quot;$&quot;* \(#,##0\);_(&quot;$&quot;* &quot;-&quot;_);_(@_)"/>
    <numFmt numFmtId="169" formatCode="&quot;$&quot;#,##0.00"/>
    <numFmt numFmtId="170" formatCode="0.00\ &quot;P&quot;"/>
    <numFmt numFmtId="171" formatCode="0.000000"/>
    <numFmt numFmtId="172" formatCode="0.0000%"/>
    <numFmt numFmtId="173" formatCode="_(* #,##0.000000_);_(* \(#,##0.000000\);_(* &quot;-&quot;??????_);_(@_)"/>
    <numFmt numFmtId="174" formatCode="&quot;ADJ&quot;\ 0.00\ &quot;ER&quot;"/>
    <numFmt numFmtId="175" formatCode="#,##0;\(#,##0\)"/>
    <numFmt numFmtId="176" formatCode="yyyy"/>
    <numFmt numFmtId="177" formatCode="_(&quot;$&quot;* #,##0.000000_);_(&quot;$&quot;* \(#,##0.000000\);_(&quot;$&quot;* &quot;-&quot;??????_);_(@_)"/>
    <numFmt numFmtId="178" formatCode="#,##0.0000"/>
    <numFmt numFmtId="179" formatCode="0.0000"/>
    <numFmt numFmtId="180" formatCode="0.00000%"/>
    <numFmt numFmtId="181" formatCode="0.0%"/>
    <numFmt numFmtId="182" formatCode="0.00\ "/>
    <numFmt numFmtId="183" formatCode="#,##0.000000;\(#,##0.000000\)"/>
    <numFmt numFmtId="184" formatCode="#,##0.000;\(#,##0.000\)"/>
    <numFmt numFmtId="185" formatCode="0.000000%"/>
    <numFmt numFmtId="186" formatCode="###,000"/>
    <numFmt numFmtId="187" formatCode="#,##0.00;\-#,##0.00;#,##0.00"/>
    <numFmt numFmtId="188" formatCode="_(&quot;$&quot;* #,##0.0_);_(&quot;$&quot;* \(#,##0.0\);_(&quot;$&quot;* &quot;-&quot;?_);_(@_)"/>
    <numFmt numFmtId="189" formatCode="_(* #,##0.000000_);_(* \(#,##0.000000\);_(* &quot;-&quot;_);_(@_)"/>
  </numFmts>
  <fonts count="134"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b/>
      <sz val="11"/>
      <color theme="1"/>
      <name val="Times New Roman"/>
      <family val="1"/>
    </font>
    <font>
      <b/>
      <sz val="10"/>
      <name val="Times New Roman"/>
      <family val="1"/>
    </font>
    <font>
      <sz val="10"/>
      <name val="Times New Roman"/>
      <family val="1"/>
    </font>
    <font>
      <b/>
      <sz val="11"/>
      <color theme="1"/>
      <name val="Calibri"/>
      <family val="2"/>
      <scheme val="minor"/>
    </font>
    <font>
      <sz val="10"/>
      <color rgb="FFFF0000"/>
      <name val="Times New Roman"/>
      <family val="1"/>
    </font>
    <font>
      <sz val="8"/>
      <color rgb="FFFF0000"/>
      <name val="Calibri"/>
      <family val="2"/>
      <scheme val="minor"/>
    </font>
    <font>
      <b/>
      <sz val="11"/>
      <color theme="0"/>
      <name val="Calibri"/>
      <family val="2"/>
      <scheme val="minor"/>
    </font>
    <font>
      <sz val="10"/>
      <color theme="0" tint="-0.34998626667073579"/>
      <name val="Times New Roman"/>
      <family val="1"/>
    </font>
    <font>
      <b/>
      <u/>
      <sz val="10"/>
      <color theme="1"/>
      <name val="Times New Roman"/>
      <family val="1"/>
    </font>
    <font>
      <u/>
      <sz val="10"/>
      <color theme="1"/>
      <name val="Times New Roman"/>
      <family val="1"/>
    </font>
    <font>
      <sz val="11"/>
      <color theme="1"/>
      <name val="Times New Roman"/>
      <family val="1"/>
    </font>
    <font>
      <sz val="10"/>
      <color theme="1"/>
      <name val="Arial"/>
      <family val="2"/>
    </font>
    <font>
      <b/>
      <sz val="10"/>
      <color rgb="FF0000FF"/>
      <name val="Times New Roman"/>
      <family val="1"/>
    </font>
    <font>
      <sz val="11"/>
      <color rgb="FF0000FF"/>
      <name val="Calibri"/>
      <family val="2"/>
      <scheme val="minor"/>
    </font>
    <font>
      <sz val="10"/>
      <color rgb="FF0000FF"/>
      <name val="Times New Roman"/>
      <family val="1"/>
    </font>
    <font>
      <sz val="11"/>
      <name val="Calibri"/>
      <family val="2"/>
      <scheme val="minor"/>
    </font>
    <font>
      <b/>
      <sz val="10"/>
      <color rgb="FF0070C0"/>
      <name val="Times New Roman"/>
      <family val="1"/>
    </font>
    <font>
      <sz val="8"/>
      <name val="Helv"/>
    </font>
    <font>
      <sz val="10"/>
      <color theme="1"/>
      <name val="Calibri"/>
      <family val="2"/>
      <scheme val="minor"/>
    </font>
    <font>
      <b/>
      <i/>
      <sz val="10"/>
      <color rgb="FF0000FF"/>
      <name val="Calibri"/>
      <family val="2"/>
      <scheme val="minor"/>
    </font>
    <font>
      <b/>
      <sz val="10"/>
      <color theme="0"/>
      <name val="Times New Roman"/>
      <family val="1"/>
    </font>
    <font>
      <b/>
      <sz val="10"/>
      <color rgb="FFFF0000"/>
      <name val="Times New Roman"/>
      <family val="1"/>
    </font>
    <font>
      <u/>
      <sz val="10"/>
      <name val="Times New Roman"/>
      <family val="1"/>
    </font>
    <font>
      <sz val="11"/>
      <color theme="0"/>
      <name val="Calibri"/>
      <family val="2"/>
      <scheme val="minor"/>
    </font>
    <font>
      <sz val="11"/>
      <color rgb="FFFF0000"/>
      <name val="Calibri"/>
      <family val="2"/>
      <scheme val="minor"/>
    </font>
    <font>
      <sz val="11"/>
      <color theme="0" tint="-0.14999847407452621"/>
      <name val="Calibri"/>
      <family val="2"/>
      <scheme val="minor"/>
    </font>
    <font>
      <i/>
      <sz val="10"/>
      <color theme="1"/>
      <name val="Times New Roman"/>
      <family val="1"/>
    </font>
    <font>
      <sz val="11"/>
      <name val="Times New Roman"/>
      <family val="1"/>
    </font>
    <font>
      <b/>
      <sz val="11"/>
      <color rgb="FF0000FF"/>
      <name val="Calibri"/>
      <family val="2"/>
      <scheme val="minor"/>
    </font>
    <font>
      <b/>
      <sz val="11"/>
      <color rgb="FF0000FF"/>
      <name val="Times New Roman"/>
      <family val="1"/>
    </font>
    <font>
      <sz val="8"/>
      <color rgb="FFFF0000"/>
      <name val="Times New Roman"/>
      <family val="1"/>
    </font>
    <font>
      <sz val="9"/>
      <color theme="1"/>
      <name val="Calibri"/>
      <family val="2"/>
      <scheme val="minor"/>
    </font>
    <font>
      <b/>
      <i/>
      <sz val="10"/>
      <color rgb="FF0000FF"/>
      <name val="Times New Roman"/>
      <family val="1"/>
    </font>
    <font>
      <b/>
      <i/>
      <sz val="10"/>
      <color theme="1"/>
      <name val="Times New Roman"/>
      <family val="1"/>
    </font>
    <font>
      <sz val="10"/>
      <name val="Arial"/>
      <family val="2"/>
    </font>
    <font>
      <sz val="10"/>
      <color indexed="8"/>
      <name val="Arial"/>
      <family val="2"/>
    </font>
    <font>
      <sz val="11"/>
      <color theme="1"/>
      <name val="Calibri"/>
      <family val="2"/>
    </font>
    <font>
      <sz val="10"/>
      <name val="Arial"/>
      <family val="2"/>
    </font>
    <font>
      <sz val="12"/>
      <name val="Times New Roman"/>
      <family val="1"/>
    </font>
    <font>
      <b/>
      <i/>
      <sz val="11"/>
      <color rgb="FF0070C0"/>
      <name val="Times New Roman"/>
      <family val="1"/>
    </font>
    <font>
      <b/>
      <sz val="11"/>
      <color rgb="FFFF0000"/>
      <name val="Times New Roman"/>
      <family val="1"/>
    </font>
    <font>
      <b/>
      <sz val="11"/>
      <color rgb="FFFF00FF"/>
      <name val="Times New Roman"/>
      <family val="1"/>
    </font>
    <font>
      <b/>
      <sz val="11"/>
      <color rgb="FF00B050"/>
      <name val="Times New Roman"/>
      <family val="1"/>
    </font>
    <font>
      <b/>
      <sz val="11"/>
      <name val="Times New Roman"/>
      <family val="1"/>
    </font>
    <font>
      <sz val="11"/>
      <color theme="0" tint="-0.34998626667073579"/>
      <name val="Times New Roman"/>
      <family val="1"/>
    </font>
    <font>
      <sz val="11"/>
      <color rgb="FFFF0000"/>
      <name val="Times New Roman"/>
      <family val="1"/>
    </font>
    <font>
      <sz val="11"/>
      <color rgb="FF0000FF"/>
      <name val="Times New Roman"/>
      <family val="1"/>
    </font>
    <font>
      <b/>
      <sz val="11"/>
      <color theme="0" tint="-0.34998626667073579"/>
      <name val="Times New Roman"/>
      <family val="1"/>
    </font>
    <font>
      <b/>
      <i/>
      <sz val="11"/>
      <color rgb="FF0000FF"/>
      <name val="Times New Roman"/>
      <family val="1"/>
    </font>
    <font>
      <sz val="9"/>
      <color rgb="FF0000FF"/>
      <name val="Times New Roman"/>
      <family val="1"/>
    </font>
    <font>
      <sz val="10"/>
      <color indexed="8"/>
      <name val="Times New Roman"/>
      <family val="1"/>
    </font>
    <font>
      <sz val="11"/>
      <color rgb="FFFF00FF"/>
      <name val="Times New Roman"/>
      <family val="1"/>
    </font>
    <font>
      <b/>
      <i/>
      <sz val="11"/>
      <color rgb="FF0000FF"/>
      <name val="Calibri"/>
      <family val="2"/>
      <scheme val="minor"/>
    </font>
    <font>
      <u/>
      <sz val="10"/>
      <color theme="1"/>
      <name val="Arial"/>
      <family val="2"/>
    </font>
    <font>
      <b/>
      <i/>
      <sz val="11"/>
      <color rgb="FF3333FF"/>
      <name val="Times New Roman"/>
      <family val="1"/>
    </font>
    <font>
      <sz val="9"/>
      <color theme="1"/>
      <name val="Times New Roman"/>
      <family val="1"/>
    </font>
    <font>
      <b/>
      <sz val="10"/>
      <color theme="1"/>
      <name val="Arial"/>
      <family val="2"/>
    </font>
    <font>
      <b/>
      <sz val="12"/>
      <name val="Times New Roman"/>
      <family val="1"/>
    </font>
    <font>
      <b/>
      <i/>
      <sz val="10"/>
      <color rgb="FF3333FF"/>
      <name val="Times New Roman"/>
      <family val="1"/>
    </font>
    <font>
      <b/>
      <i/>
      <sz val="12"/>
      <color rgb="FF3333FF"/>
      <name val="Times New Roman"/>
      <family val="1"/>
    </font>
    <font>
      <b/>
      <i/>
      <sz val="11"/>
      <color rgb="FF3333FF"/>
      <name val="Calibri"/>
      <family val="2"/>
      <scheme val="minor"/>
    </font>
    <font>
      <i/>
      <sz val="10"/>
      <name val="Times New Roman"/>
      <family val="1"/>
    </font>
    <font>
      <b/>
      <sz val="11"/>
      <color rgb="FFFF0000"/>
      <name val="Calibri"/>
      <family val="2"/>
      <scheme val="minor"/>
    </font>
    <font>
      <sz val="9"/>
      <color rgb="FFFF0000"/>
      <name val="Times New Roman"/>
      <family val="1"/>
    </font>
    <font>
      <sz val="8"/>
      <color rgb="FF0000FF"/>
      <name val="Times New Roman"/>
      <family val="1"/>
    </font>
    <font>
      <sz val="9"/>
      <color rgb="FFFF0000"/>
      <name val="Calibri"/>
      <family val="2"/>
      <scheme val="minor"/>
    </font>
    <font>
      <b/>
      <sz val="12"/>
      <color theme="1"/>
      <name val="Times New Roman"/>
      <family val="1"/>
    </font>
    <font>
      <b/>
      <sz val="11"/>
      <color rgb="FF7030A0"/>
      <name val="Calibri"/>
      <family val="2"/>
      <scheme val="minor"/>
    </font>
    <font>
      <b/>
      <sz val="11"/>
      <name val="Calibri"/>
      <family val="2"/>
      <scheme val="minor"/>
    </font>
    <font>
      <sz val="10"/>
      <color theme="1"/>
      <name val="Calibri"/>
      <family val="2"/>
    </font>
    <font>
      <b/>
      <sz val="8"/>
      <color rgb="FFFF0000"/>
      <name val="Calibri"/>
      <family val="2"/>
      <scheme val="minor"/>
    </font>
    <font>
      <sz val="11"/>
      <color theme="1"/>
      <name val="Arial"/>
      <family val="2"/>
    </font>
    <font>
      <b/>
      <i/>
      <sz val="10"/>
      <color rgb="FF0000FF"/>
      <name val="Arial"/>
      <family val="2"/>
    </font>
    <font>
      <b/>
      <sz val="8"/>
      <color rgb="FFFF0000"/>
      <name val="Times New Roman"/>
      <family val="1"/>
    </font>
    <font>
      <sz val="11"/>
      <color rgb="FF00B050"/>
      <name val="Calibri"/>
      <family val="2"/>
      <scheme val="minor"/>
    </font>
    <font>
      <u/>
      <sz val="11"/>
      <name val="Times New Roman"/>
      <family val="1"/>
    </font>
    <font>
      <b/>
      <u/>
      <sz val="10"/>
      <color theme="1"/>
      <name val="Calibri"/>
      <family val="2"/>
    </font>
    <font>
      <sz val="14"/>
      <color theme="1"/>
      <name val="Calibri"/>
      <family val="2"/>
    </font>
    <font>
      <b/>
      <sz val="14"/>
      <color theme="1"/>
      <name val="Calibri"/>
      <family val="2"/>
    </font>
    <font>
      <sz val="8"/>
      <color rgb="FFFF0000"/>
      <name val="Calibri"/>
      <family val="2"/>
    </font>
    <font>
      <b/>
      <sz val="11"/>
      <color theme="1"/>
      <name val="Calibri"/>
      <family val="2"/>
    </font>
    <font>
      <sz val="11"/>
      <color rgb="FF0000FF"/>
      <name val="Calibri"/>
      <family val="2"/>
    </font>
    <font>
      <sz val="11"/>
      <color rgb="FF00B050"/>
      <name val="Calibri"/>
      <family val="2"/>
    </font>
    <font>
      <b/>
      <sz val="11"/>
      <color rgb="FFFF0000"/>
      <name val="Calibri"/>
      <family val="2"/>
    </font>
    <font>
      <b/>
      <sz val="8"/>
      <color rgb="FF1F497D"/>
      <name val="Verdana"/>
      <family val="2"/>
    </font>
    <font>
      <sz val="8"/>
      <color rgb="FF1F497D"/>
      <name val="Verdana"/>
      <family val="2"/>
    </font>
    <font>
      <b/>
      <sz val="12"/>
      <color rgb="FF000000"/>
      <name val="Calibri"/>
      <family val="2"/>
    </font>
    <font>
      <sz val="11"/>
      <color rgb="FF000000"/>
      <name val="Calibri"/>
      <family val="2"/>
    </font>
    <font>
      <sz val="12"/>
      <color rgb="FF000000"/>
      <name val="Calibri"/>
      <family val="2"/>
    </font>
    <font>
      <sz val="11"/>
      <color rgb="FF000000"/>
      <name val="Times New Roman"/>
      <family val="1"/>
    </font>
    <font>
      <b/>
      <sz val="11"/>
      <color rgb="FF000000"/>
      <name val="Times New Roman"/>
      <family val="1"/>
    </font>
    <font>
      <b/>
      <u/>
      <sz val="10"/>
      <name val="Times New Roman"/>
      <family val="1"/>
    </font>
    <font>
      <sz val="9"/>
      <color rgb="FF0000CC"/>
      <name val="Times New Roman"/>
      <family val="1"/>
    </font>
    <font>
      <sz val="11"/>
      <name val="Arial"/>
      <family val="2"/>
    </font>
    <font>
      <b/>
      <i/>
      <sz val="12"/>
      <name val="Times New Roman"/>
      <family val="1"/>
    </font>
    <font>
      <b/>
      <i/>
      <sz val="10"/>
      <name val="Times New Roman"/>
      <family val="1"/>
    </font>
    <font>
      <b/>
      <sz val="14"/>
      <color theme="1"/>
      <name val="Calibri"/>
      <family val="2"/>
      <scheme val="minor"/>
    </font>
    <font>
      <sz val="11"/>
      <color rgb="FF7030A0"/>
      <name val="Calibri"/>
      <family val="2"/>
      <scheme val="minor"/>
    </font>
    <font>
      <b/>
      <sz val="12"/>
      <color theme="1"/>
      <name val="Calibri"/>
      <family val="2"/>
    </font>
    <font>
      <b/>
      <sz val="12"/>
      <name val="Calibri"/>
      <family val="2"/>
      <scheme val="minor"/>
    </font>
    <font>
      <b/>
      <sz val="12"/>
      <color theme="1"/>
      <name val="Calibri"/>
      <family val="2"/>
      <scheme val="minor"/>
    </font>
    <font>
      <sz val="12"/>
      <color theme="1"/>
      <name val="Times New Roman"/>
      <family val="1"/>
    </font>
    <font>
      <sz val="10"/>
      <color rgb="FFFF0000"/>
      <name val="Calibri"/>
      <family val="2"/>
    </font>
    <font>
      <sz val="11"/>
      <color rgb="FF7030A0"/>
      <name val="Calibri"/>
      <family val="2"/>
    </font>
    <font>
      <b/>
      <u/>
      <sz val="11"/>
      <name val="Times New Roman"/>
      <family val="1"/>
    </font>
    <font>
      <b/>
      <sz val="12"/>
      <color rgb="FF000000"/>
      <name val="Times New Roman"/>
      <family val="1"/>
    </font>
    <font>
      <sz val="12"/>
      <color rgb="FF000000"/>
      <name val="Times New Roman"/>
      <family val="1"/>
    </font>
    <font>
      <b/>
      <u/>
      <sz val="11"/>
      <color theme="1"/>
      <name val="Calibri"/>
      <family val="2"/>
      <scheme val="minor"/>
    </font>
    <font>
      <i/>
      <sz val="11"/>
      <color theme="1"/>
      <name val="Calibri"/>
      <family val="2"/>
      <scheme val="minor"/>
    </font>
    <font>
      <sz val="11"/>
      <color theme="0" tint="-0.34998626667073579"/>
      <name val="Calibri"/>
      <family val="2"/>
      <scheme val="minor"/>
    </font>
    <font>
      <b/>
      <sz val="9"/>
      <color rgb="FF0000FF"/>
      <name val="Calibri"/>
      <family val="2"/>
      <scheme val="minor"/>
    </font>
    <font>
      <sz val="10"/>
      <color theme="0" tint="-0.249977111117893"/>
      <name val="Times New Roman"/>
      <family val="1"/>
    </font>
    <font>
      <sz val="11"/>
      <color theme="0" tint="-0.249977111117893"/>
      <name val="Calibri"/>
      <family val="2"/>
      <scheme val="minor"/>
    </font>
    <font>
      <i/>
      <sz val="10"/>
      <color rgb="FF0000FF"/>
      <name val="Times New Roman"/>
      <family val="1"/>
    </font>
    <font>
      <i/>
      <sz val="10"/>
      <color theme="0" tint="-0.34998626667073579"/>
      <name val="Times New Roman"/>
      <family val="1"/>
    </font>
    <font>
      <sz val="11"/>
      <color theme="2" tint="-0.249977111117893"/>
      <name val="Calibri"/>
      <family val="2"/>
      <scheme val="minor"/>
    </font>
    <font>
      <sz val="10"/>
      <color rgb="FF040C28"/>
      <name val="Roboto"/>
    </font>
    <font>
      <sz val="8"/>
      <color theme="1"/>
      <name val="Calibri"/>
      <family val="2"/>
      <scheme val="minor"/>
    </font>
    <font>
      <sz val="8"/>
      <color theme="1"/>
      <name val="Times New Roman"/>
      <family val="1"/>
    </font>
    <font>
      <b/>
      <sz val="8"/>
      <color theme="1"/>
      <name val="Calibri"/>
      <family val="2"/>
      <scheme val="minor"/>
    </font>
    <font>
      <b/>
      <sz val="8"/>
      <name val="Verdana"/>
      <family val="2"/>
    </font>
    <font>
      <sz val="8"/>
      <name val="Verdana"/>
      <family val="2"/>
    </font>
    <font>
      <b/>
      <sz val="8"/>
      <name val="Calibri"/>
      <family val="2"/>
      <scheme val="minor"/>
    </font>
    <font>
      <sz val="8"/>
      <name val="Calibri"/>
      <family val="2"/>
      <scheme val="minor"/>
    </font>
    <font>
      <b/>
      <sz val="14"/>
      <name val="Calibri"/>
      <family val="2"/>
      <scheme val="minor"/>
    </font>
    <font>
      <sz val="14"/>
      <name val="Calibri"/>
      <family val="2"/>
    </font>
    <font>
      <b/>
      <sz val="14"/>
      <name val="Calibri"/>
      <family val="2"/>
    </font>
    <font>
      <sz val="11"/>
      <name val="Calibri"/>
      <family val="2"/>
    </font>
    <font>
      <sz val="9"/>
      <color rgb="FF0000FF"/>
      <name val="Calibri"/>
      <family val="2"/>
      <scheme val="minor"/>
    </font>
    <font>
      <sz val="8"/>
      <color rgb="FF0000FF"/>
      <name val="Calibri"/>
      <family val="2"/>
      <scheme val="minor"/>
    </font>
  </fonts>
  <fills count="32">
    <fill>
      <patternFill patternType="none"/>
    </fill>
    <fill>
      <patternFill patternType="gray125"/>
    </fill>
    <fill>
      <patternFill patternType="solid">
        <fgColor rgb="FFF8F8F8"/>
        <bgColor indexed="64"/>
      </patternFill>
    </fill>
    <fill>
      <patternFill patternType="solid">
        <fgColor theme="7" tint="0.79998168889431442"/>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66FF"/>
        <bgColor indexed="64"/>
      </patternFill>
    </fill>
    <fill>
      <patternFill patternType="solid">
        <fgColor theme="1"/>
        <bgColor indexed="64"/>
      </patternFill>
    </fill>
    <fill>
      <patternFill patternType="solid">
        <fgColor theme="2"/>
        <bgColor indexed="64"/>
      </patternFill>
    </fill>
    <fill>
      <patternFill patternType="lightDown"/>
    </fill>
    <fill>
      <patternFill patternType="solid">
        <fgColor theme="0" tint="-4.9989318521683403E-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9999"/>
        <bgColor indexed="64"/>
      </patternFill>
    </fill>
    <fill>
      <patternFill patternType="gray0625">
        <bgColor rgb="FFFFFFCC"/>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70C0"/>
        <bgColor indexed="64"/>
      </patternFill>
    </fill>
    <fill>
      <patternFill patternType="solid">
        <fgColor theme="4" tint="0.79998168889431442"/>
        <bgColor indexed="64"/>
      </patternFill>
    </fill>
    <fill>
      <patternFill patternType="solid">
        <fgColor indexed="65"/>
        <bgColor indexed="64"/>
      </patternFill>
    </fill>
    <fill>
      <patternFill patternType="solid">
        <fgColor rgb="FFDBE5F1"/>
        <bgColor rgb="FF000000"/>
      </patternFill>
    </fill>
    <fill>
      <patternFill patternType="solid">
        <fgColor rgb="FFDBE5F1"/>
        <bgColor rgb="FFFFFFFF"/>
      </patternFill>
    </fill>
    <fill>
      <patternFill patternType="solid">
        <fgColor theme="4" tint="0.59999389629810485"/>
        <bgColor indexed="64"/>
      </patternFill>
    </fill>
    <fill>
      <patternFill patternType="solid">
        <fgColor theme="3" tint="0.79998168889431442"/>
        <bgColor indexed="64"/>
      </patternFill>
    </fill>
    <fill>
      <patternFill patternType="gray0625"/>
    </fill>
    <fill>
      <patternFill patternType="solid">
        <fgColor rgb="FF00B050"/>
        <bgColor indexed="64"/>
      </patternFill>
    </fill>
    <fill>
      <patternFill patternType="solid">
        <fgColor theme="5" tint="0.59999389629810485"/>
        <bgColor indexed="64"/>
      </patternFill>
    </fill>
  </fills>
  <borders count="10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double">
        <color auto="1"/>
      </bottom>
      <diagonal/>
    </border>
    <border>
      <left/>
      <right/>
      <top style="thin">
        <color indexed="64"/>
      </top>
      <bottom/>
      <diagonal/>
    </border>
    <border>
      <left/>
      <right/>
      <top style="dashed">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double">
        <color auto="1"/>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thin">
        <color indexed="64"/>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double">
        <color auto="1"/>
      </top>
      <bottom/>
      <diagonal/>
    </border>
    <border>
      <left/>
      <right/>
      <top style="double">
        <color auto="1"/>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808080"/>
      </left>
      <right style="thin">
        <color theme="3" tint="-0.24994659260841701"/>
      </right>
      <top style="thin">
        <color rgb="FF808080"/>
      </top>
      <bottom style="thin">
        <color theme="3" tint="-0.24994659260841701"/>
      </bottom>
      <diagonal/>
    </border>
    <border>
      <left style="thin">
        <color rgb="FF808080"/>
      </left>
      <right style="thin">
        <color rgb="FF808080"/>
      </right>
      <top style="thin">
        <color rgb="FF808080"/>
      </top>
      <bottom style="thin">
        <color theme="3" tint="-0.24994659260841701"/>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top style="thin">
        <color auto="1"/>
      </top>
      <bottom style="double">
        <color auto="1"/>
      </bottom>
      <diagonal/>
    </border>
    <border>
      <left/>
      <right style="thin">
        <color indexed="64"/>
      </right>
      <top style="thin">
        <color auto="1"/>
      </top>
      <bottom style="double">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double">
        <color auto="1"/>
      </top>
      <bottom style="thin">
        <color indexed="64"/>
      </bottom>
      <diagonal/>
    </border>
  </borders>
  <cellStyleXfs count="18">
    <xf numFmtId="0" fontId="0" fillId="0" borderId="0"/>
    <xf numFmtId="43" fontId="1" fillId="0" borderId="0" applyFont="0" applyFill="0" applyBorder="0" applyAlignment="0" applyProtection="0"/>
    <xf numFmtId="0" fontId="1" fillId="0" borderId="0"/>
    <xf numFmtId="0" fontId="35" fillId="0" borderId="0"/>
    <xf numFmtId="0" fontId="39" fillId="0" borderId="0"/>
    <xf numFmtId="0" fontId="38" fillId="0" borderId="0"/>
    <xf numFmtId="0" fontId="40" fillId="0" borderId="0"/>
    <xf numFmtId="43" fontId="40" fillId="0" borderId="0" applyFont="0" applyFill="0" applyBorder="0" applyAlignment="0" applyProtection="0"/>
    <xf numFmtId="9" fontId="40" fillId="0" borderId="0" applyFont="0" applyFill="0" applyBorder="0" applyAlignment="0" applyProtection="0"/>
    <xf numFmtId="0" fontId="41" fillId="0" borderId="0"/>
    <xf numFmtId="0" fontId="42" fillId="0" borderId="0"/>
    <xf numFmtId="9" fontId="1" fillId="0" borderId="0" applyFont="0" applyFill="0" applyBorder="0" applyAlignment="0" applyProtection="0"/>
    <xf numFmtId="44" fontId="1" fillId="0" borderId="0" applyFont="0" applyFill="0" applyBorder="0" applyAlignment="0" applyProtection="0"/>
    <xf numFmtId="0" fontId="88" fillId="25" borderId="82" applyNumberFormat="0" applyAlignment="0" applyProtection="0">
      <alignment horizontal="left" vertical="center" indent="1"/>
    </xf>
    <xf numFmtId="186" fontId="89" fillId="26" borderId="82" applyNumberFormat="0" applyAlignment="0" applyProtection="0">
      <alignment horizontal="left" vertical="center" indent="1"/>
    </xf>
    <xf numFmtId="186" fontId="89" fillId="0" borderId="83" applyNumberFormat="0" applyProtection="0">
      <alignment horizontal="right" vertical="center"/>
    </xf>
    <xf numFmtId="0" fontId="88" fillId="25" borderId="85" applyNumberFormat="0" applyAlignment="0" applyProtection="0">
      <alignment horizontal="left" vertical="center" indent="1"/>
    </xf>
    <xf numFmtId="186" fontId="88" fillId="0" borderId="85" applyNumberFormat="0" applyProtection="0">
      <alignment horizontal="right" vertical="center"/>
    </xf>
  </cellStyleXfs>
  <cellXfs count="1356">
    <xf numFmtId="0" fontId="0" fillId="0" borderId="0" xfId="0"/>
    <xf numFmtId="0" fontId="2" fillId="0" borderId="0" xfId="0" applyFont="1"/>
    <xf numFmtId="0" fontId="2" fillId="0" borderId="0" xfId="0" applyFont="1" applyAlignment="1">
      <alignment horizontal="left" indent="1"/>
    </xf>
    <xf numFmtId="0" fontId="3" fillId="0" borderId="0" xfId="0" applyFont="1"/>
    <xf numFmtId="0" fontId="3" fillId="2" borderId="2" xfId="0" applyFont="1" applyFill="1" applyBorder="1" applyAlignment="1">
      <alignment horizontal="centerContinuous"/>
    </xf>
    <xf numFmtId="0" fontId="2" fillId="2" borderId="1" xfId="0" applyFont="1" applyFill="1" applyBorder="1" applyAlignment="1">
      <alignment horizontal="centerContinuous"/>
    </xf>
    <xf numFmtId="0" fontId="2" fillId="2" borderId="3" xfId="0" applyFont="1" applyFill="1" applyBorder="1" applyAlignment="1">
      <alignment horizontal="centerContinuous"/>
    </xf>
    <xf numFmtId="0" fontId="3" fillId="2" borderId="4" xfId="0" applyFont="1" applyFill="1" applyBorder="1" applyAlignment="1">
      <alignment horizontal="center"/>
    </xf>
    <xf numFmtId="0" fontId="3" fillId="2" borderId="5" xfId="0" applyFont="1" applyFill="1" applyBorder="1" applyAlignment="1">
      <alignment horizontal="center"/>
    </xf>
    <xf numFmtId="0" fontId="2" fillId="2" borderId="4" xfId="0" applyFont="1" applyFill="1" applyBorder="1" applyAlignment="1">
      <alignment horizontal="center"/>
    </xf>
    <xf numFmtId="0" fontId="2" fillId="2" borderId="4" xfId="0" applyFont="1" applyFill="1" applyBorder="1"/>
    <xf numFmtId="42" fontId="2" fillId="2" borderId="4" xfId="0" applyNumberFormat="1" applyFont="1" applyFill="1" applyBorder="1"/>
    <xf numFmtId="41" fontId="2" fillId="2" borderId="4" xfId="0" applyNumberFormat="1" applyFont="1" applyFill="1" applyBorder="1" applyProtection="1">
      <protection locked="0"/>
    </xf>
    <xf numFmtId="41" fontId="2" fillId="2" borderId="3" xfId="0" applyNumberFormat="1" applyFont="1" applyFill="1" applyBorder="1" applyProtection="1">
      <protection locked="0"/>
    </xf>
    <xf numFmtId="0" fontId="2" fillId="2" borderId="6" xfId="0" applyFont="1" applyFill="1" applyBorder="1"/>
    <xf numFmtId="42" fontId="2" fillId="2" borderId="7" xfId="0" applyNumberFormat="1" applyFont="1" applyFill="1" applyBorder="1" applyProtection="1">
      <protection locked="0"/>
    </xf>
    <xf numFmtId="10" fontId="2" fillId="2" borderId="4" xfId="0" applyNumberFormat="1" applyFont="1" applyFill="1" applyBorder="1"/>
    <xf numFmtId="165" fontId="2" fillId="2" borderId="4" xfId="0" applyNumberFormat="1" applyFont="1" applyFill="1" applyBorder="1"/>
    <xf numFmtId="164" fontId="2" fillId="2" borderId="4" xfId="0" applyNumberFormat="1" applyFont="1" applyFill="1" applyBorder="1"/>
    <xf numFmtId="42" fontId="2" fillId="2" borderId="4" xfId="0" applyNumberFormat="1" applyFont="1" applyFill="1" applyBorder="1" applyProtection="1">
      <protection locked="0"/>
    </xf>
    <xf numFmtId="0" fontId="2" fillId="2" borderId="5" xfId="0" applyFont="1" applyFill="1" applyBorder="1"/>
    <xf numFmtId="0" fontId="2" fillId="2" borderId="9" xfId="0" applyFont="1" applyFill="1" applyBorder="1"/>
    <xf numFmtId="0" fontId="3" fillId="2" borderId="10" xfId="0" applyFont="1" applyFill="1" applyBorder="1" applyAlignment="1">
      <alignment horizontal="center"/>
    </xf>
    <xf numFmtId="0" fontId="3" fillId="2" borderId="11" xfId="0" applyFont="1" applyFill="1" applyBorder="1" applyAlignment="1">
      <alignment horizontal="center"/>
    </xf>
    <xf numFmtId="0" fontId="2" fillId="2" borderId="10" xfId="0" applyFont="1" applyFill="1" applyBorder="1" applyAlignment="1">
      <alignment horizontal="center"/>
    </xf>
    <xf numFmtId="0" fontId="2" fillId="2" borderId="10" xfId="0" applyFont="1" applyFill="1" applyBorder="1"/>
    <xf numFmtId="42" fontId="2" fillId="2" borderId="10" xfId="0" applyNumberFormat="1" applyFont="1" applyFill="1" applyBorder="1"/>
    <xf numFmtId="41" fontId="2" fillId="2" borderId="10" xfId="0" applyNumberFormat="1" applyFont="1" applyFill="1" applyBorder="1" applyProtection="1">
      <protection locked="0"/>
    </xf>
    <xf numFmtId="41" fontId="2" fillId="2" borderId="8" xfId="0" applyNumberFormat="1" applyFont="1" applyFill="1" applyBorder="1" applyProtection="1">
      <protection locked="0"/>
    </xf>
    <xf numFmtId="42" fontId="2" fillId="2" borderId="12" xfId="0" applyNumberFormat="1" applyFont="1" applyFill="1" applyBorder="1" applyProtection="1">
      <protection locked="0"/>
    </xf>
    <xf numFmtId="10" fontId="2" fillId="2" borderId="10" xfId="0" applyNumberFormat="1" applyFont="1" applyFill="1" applyBorder="1"/>
    <xf numFmtId="165" fontId="2" fillId="2" borderId="10" xfId="0" applyNumberFormat="1" applyFont="1" applyFill="1" applyBorder="1"/>
    <xf numFmtId="164" fontId="2" fillId="2" borderId="10" xfId="0" applyNumberFormat="1" applyFont="1" applyFill="1" applyBorder="1"/>
    <xf numFmtId="0" fontId="2" fillId="2" borderId="11" xfId="0" applyFont="1" applyFill="1" applyBorder="1"/>
    <xf numFmtId="0" fontId="2" fillId="0" borderId="10" xfId="0" applyFont="1" applyBorder="1" applyAlignment="1">
      <alignment horizontal="center"/>
    </xf>
    <xf numFmtId="0" fontId="2" fillId="0" borderId="10" xfId="0" applyFont="1" applyBorder="1"/>
    <xf numFmtId="41" fontId="2" fillId="0" borderId="10" xfId="0" applyNumberFormat="1" applyFont="1" applyBorder="1" applyProtection="1">
      <protection locked="0"/>
    </xf>
    <xf numFmtId="41" fontId="2" fillId="0" borderId="8" xfId="0" applyNumberFormat="1" applyFont="1" applyBorder="1" applyProtection="1">
      <protection locked="0"/>
    </xf>
    <xf numFmtId="0" fontId="2" fillId="0" borderId="9" xfId="0" applyFont="1" applyBorder="1"/>
    <xf numFmtId="42" fontId="2" fillId="0" borderId="12" xfId="0" applyNumberFormat="1" applyFont="1" applyBorder="1" applyProtection="1">
      <protection locked="0"/>
    </xf>
    <xf numFmtId="10" fontId="2" fillId="0" borderId="10" xfId="0" applyNumberFormat="1" applyFont="1" applyBorder="1"/>
    <xf numFmtId="42" fontId="2" fillId="0" borderId="10" xfId="0" applyNumberFormat="1" applyFont="1" applyBorder="1"/>
    <xf numFmtId="165" fontId="2" fillId="0" borderId="10" xfId="0" applyNumberFormat="1" applyFont="1" applyBorder="1"/>
    <xf numFmtId="164" fontId="2" fillId="0" borderId="10" xfId="0" applyNumberFormat="1" applyFont="1" applyBorder="1"/>
    <xf numFmtId="0" fontId="2" fillId="0" borderId="11" xfId="0" applyFont="1" applyBorder="1"/>
    <xf numFmtId="0" fontId="2" fillId="0" borderId="14" xfId="0" applyFont="1" applyBorder="1"/>
    <xf numFmtId="0" fontId="3" fillId="0" borderId="15" xfId="0" applyFont="1" applyBorder="1"/>
    <xf numFmtId="0" fontId="3" fillId="0" borderId="15" xfId="0" applyFont="1" applyBorder="1" applyAlignment="1">
      <alignment horizontal="center"/>
    </xf>
    <xf numFmtId="0" fontId="3" fillId="0" borderId="16" xfId="0" applyFont="1" applyBorder="1" applyAlignment="1">
      <alignment horizontal="center"/>
    </xf>
    <xf numFmtId="0" fontId="2" fillId="0" borderId="15" xfId="0" applyFont="1" applyBorder="1" applyAlignment="1">
      <alignment horizontal="center"/>
    </xf>
    <xf numFmtId="0" fontId="2" fillId="0" borderId="15" xfId="0" applyFont="1" applyBorder="1"/>
    <xf numFmtId="41" fontId="2" fillId="0" borderId="15" xfId="0" applyNumberFormat="1" applyFont="1" applyBorder="1" applyProtection="1">
      <protection locked="0"/>
    </xf>
    <xf numFmtId="41" fontId="2" fillId="0" borderId="13" xfId="0" applyNumberFormat="1" applyFont="1" applyBorder="1" applyProtection="1">
      <protection locked="0"/>
    </xf>
    <xf numFmtId="42" fontId="2" fillId="0" borderId="17" xfId="0" applyNumberFormat="1" applyFont="1" applyBorder="1" applyProtection="1">
      <protection locked="0"/>
    </xf>
    <xf numFmtId="10" fontId="2" fillId="0" borderId="15" xfId="0" applyNumberFormat="1" applyFont="1" applyBorder="1"/>
    <xf numFmtId="42" fontId="2" fillId="0" borderId="15" xfId="0" applyNumberFormat="1" applyFont="1" applyBorder="1"/>
    <xf numFmtId="165" fontId="2" fillId="0" borderId="15" xfId="0" applyNumberFormat="1" applyFont="1" applyBorder="1"/>
    <xf numFmtId="164" fontId="2" fillId="0" borderId="15" xfId="0" applyNumberFormat="1" applyFont="1" applyBorder="1"/>
    <xf numFmtId="0" fontId="2" fillId="0" borderId="16" xfId="0" applyFont="1" applyBorder="1"/>
    <xf numFmtId="0" fontId="2" fillId="2" borderId="14" xfId="0" applyFont="1" applyFill="1" applyBorder="1"/>
    <xf numFmtId="0" fontId="3" fillId="2" borderId="15" xfId="0" applyFont="1" applyFill="1" applyBorder="1" applyAlignment="1">
      <alignment horizontal="center"/>
    </xf>
    <xf numFmtId="0" fontId="3" fillId="2" borderId="16" xfId="0" applyFont="1" applyFill="1" applyBorder="1" applyAlignment="1">
      <alignment horizontal="center"/>
    </xf>
    <xf numFmtId="0" fontId="2" fillId="2" borderId="15" xfId="0" applyFont="1" applyFill="1" applyBorder="1" applyAlignment="1">
      <alignment horizontal="center"/>
    </xf>
    <xf numFmtId="0" fontId="2" fillId="2" borderId="15" xfId="0" applyFont="1" applyFill="1" applyBorder="1"/>
    <xf numFmtId="42" fontId="2" fillId="2" borderId="15" xfId="0" applyNumberFormat="1" applyFont="1" applyFill="1" applyBorder="1"/>
    <xf numFmtId="41" fontId="2" fillId="2" borderId="15" xfId="0" applyNumberFormat="1" applyFont="1" applyFill="1" applyBorder="1" applyProtection="1">
      <protection locked="0"/>
    </xf>
    <xf numFmtId="41" fontId="2" fillId="2" borderId="13" xfId="0" applyNumberFormat="1" applyFont="1" applyFill="1" applyBorder="1" applyProtection="1">
      <protection locked="0"/>
    </xf>
    <xf numFmtId="42" fontId="2" fillId="2" borderId="17" xfId="0" applyNumberFormat="1" applyFont="1" applyFill="1" applyBorder="1" applyProtection="1">
      <protection locked="0"/>
    </xf>
    <xf numFmtId="10" fontId="2" fillId="2" borderId="15" xfId="0" applyNumberFormat="1" applyFont="1" applyFill="1" applyBorder="1"/>
    <xf numFmtId="165" fontId="2" fillId="2" borderId="15" xfId="0" applyNumberFormat="1" applyFont="1" applyFill="1" applyBorder="1"/>
    <xf numFmtId="164" fontId="2" fillId="2" borderId="15" xfId="0" applyNumberFormat="1" applyFont="1" applyFill="1" applyBorder="1"/>
    <xf numFmtId="0" fontId="2" fillId="2" borderId="16" xfId="0" applyFont="1" applyFill="1" applyBorder="1"/>
    <xf numFmtId="0" fontId="3" fillId="2" borderId="14" xfId="0" applyFont="1" applyFill="1" applyBorder="1" applyAlignment="1">
      <alignment horizontal="center"/>
    </xf>
    <xf numFmtId="42" fontId="2" fillId="2" borderId="15" xfId="0" applyNumberFormat="1" applyFont="1" applyFill="1" applyBorder="1" applyProtection="1">
      <protection locked="0"/>
    </xf>
    <xf numFmtId="0" fontId="3" fillId="0" borderId="20" xfId="0" applyFont="1" applyBorder="1"/>
    <xf numFmtId="0" fontId="2" fillId="0" borderId="6" xfId="0" applyFont="1" applyBorder="1"/>
    <xf numFmtId="0" fontId="3" fillId="0" borderId="21" xfId="0" applyFont="1" applyBorder="1"/>
    <xf numFmtId="0" fontId="2" fillId="0" borderId="4" xfId="0" applyFont="1" applyBorder="1"/>
    <xf numFmtId="0" fontId="3" fillId="0" borderId="4" xfId="0" applyFont="1" applyBorder="1"/>
    <xf numFmtId="0" fontId="3" fillId="0" borderId="22" xfId="0" applyFont="1" applyBorder="1" applyAlignment="1">
      <alignment horizontal="center"/>
    </xf>
    <xf numFmtId="0" fontId="3" fillId="0" borderId="5" xfId="0" applyFont="1" applyBorder="1" applyAlignment="1">
      <alignment horizontal="center"/>
    </xf>
    <xf numFmtId="0" fontId="3" fillId="0" borderId="21" xfId="0" applyFont="1" applyBorder="1" applyAlignment="1">
      <alignment horizontal="center"/>
    </xf>
    <xf numFmtId="0" fontId="3" fillId="0" borderId="4" xfId="0" applyFont="1" applyBorder="1" applyAlignment="1">
      <alignment horizontal="center"/>
    </xf>
    <xf numFmtId="0" fontId="2" fillId="0" borderId="21" xfId="0" applyFont="1" applyBorder="1" applyAlignment="1">
      <alignment horizontal="left"/>
    </xf>
    <xf numFmtId="0" fontId="2" fillId="0" borderId="4" xfId="0" applyFont="1" applyBorder="1" applyAlignment="1">
      <alignment horizontal="left"/>
    </xf>
    <xf numFmtId="0" fontId="2" fillId="0" borderId="4" xfId="0" applyFont="1" applyBorder="1" applyAlignment="1">
      <alignment horizontal="left" indent="1"/>
    </xf>
    <xf numFmtId="0" fontId="2" fillId="0" borderId="5" xfId="0" applyFont="1" applyBorder="1"/>
    <xf numFmtId="42" fontId="2" fillId="2" borderId="9" xfId="0" applyNumberFormat="1" applyFont="1" applyFill="1" applyBorder="1"/>
    <xf numFmtId="42" fontId="2" fillId="0" borderId="14" xfId="0" applyNumberFormat="1" applyFont="1" applyBorder="1"/>
    <xf numFmtId="42" fontId="2" fillId="2" borderId="14" xfId="0" applyNumberFormat="1" applyFont="1" applyFill="1" applyBorder="1"/>
    <xf numFmtId="42" fontId="2" fillId="2" borderId="6" xfId="0" applyNumberFormat="1" applyFont="1" applyFill="1" applyBorder="1"/>
    <xf numFmtId="42" fontId="2" fillId="0" borderId="9" xfId="0" applyNumberFormat="1" applyFont="1" applyBorder="1"/>
    <xf numFmtId="166" fontId="2" fillId="0" borderId="15" xfId="0" applyNumberFormat="1" applyFont="1" applyBorder="1"/>
    <xf numFmtId="166" fontId="2" fillId="2" borderId="15" xfId="0" applyNumberFormat="1" applyFont="1" applyFill="1" applyBorder="1"/>
    <xf numFmtId="166" fontId="2" fillId="2" borderId="4" xfId="0" applyNumberFormat="1" applyFont="1" applyFill="1" applyBorder="1"/>
    <xf numFmtId="41" fontId="2" fillId="2" borderId="9" xfId="0" applyNumberFormat="1" applyFont="1" applyFill="1" applyBorder="1" applyProtection="1">
      <protection locked="0"/>
    </xf>
    <xf numFmtId="41" fontId="2" fillId="0" borderId="14" xfId="0" applyNumberFormat="1" applyFont="1" applyBorder="1" applyProtection="1">
      <protection locked="0"/>
    </xf>
    <xf numFmtId="41" fontId="2" fillId="2" borderId="14" xfId="0" applyNumberFormat="1" applyFont="1" applyFill="1" applyBorder="1" applyProtection="1">
      <protection locked="0"/>
    </xf>
    <xf numFmtId="41" fontId="2" fillId="2" borderId="24" xfId="0" applyNumberFormat="1" applyFont="1" applyFill="1" applyBorder="1" applyProtection="1">
      <protection locked="0"/>
    </xf>
    <xf numFmtId="17" fontId="3" fillId="0" borderId="14" xfId="0" applyNumberFormat="1" applyFont="1" applyBorder="1" applyAlignment="1">
      <alignment horizontal="center"/>
    </xf>
    <xf numFmtId="0" fontId="3" fillId="2" borderId="6" xfId="0" quotePrefix="1" applyFont="1" applyFill="1" applyBorder="1" applyAlignment="1">
      <alignment horizontal="center"/>
    </xf>
    <xf numFmtId="0" fontId="3" fillId="0" borderId="9" xfId="0" applyFont="1" applyBorder="1" applyAlignment="1">
      <alignment horizontal="center"/>
    </xf>
    <xf numFmtId="166" fontId="2" fillId="0" borderId="10" xfId="0" applyNumberFormat="1" applyFont="1" applyBorder="1"/>
    <xf numFmtId="165" fontId="2" fillId="0" borderId="10" xfId="0" applyNumberFormat="1" applyFont="1" applyBorder="1" applyProtection="1">
      <protection locked="0"/>
    </xf>
    <xf numFmtId="165" fontId="2" fillId="2" borderId="15" xfId="0" applyNumberFormat="1" applyFont="1" applyFill="1" applyBorder="1" applyProtection="1">
      <protection locked="0"/>
    </xf>
    <xf numFmtId="165" fontId="2" fillId="0" borderId="15" xfId="0" applyNumberFormat="1" applyFont="1" applyBorder="1" applyProtection="1">
      <protection locked="0"/>
    </xf>
    <xf numFmtId="165" fontId="2" fillId="0" borderId="9" xfId="0" applyNumberFormat="1" applyFont="1" applyBorder="1" applyProtection="1">
      <protection locked="0"/>
    </xf>
    <xf numFmtId="165" fontId="2" fillId="2" borderId="14" xfId="0" applyNumberFormat="1" applyFont="1" applyFill="1" applyBorder="1" applyProtection="1">
      <protection locked="0"/>
    </xf>
    <xf numFmtId="0" fontId="4" fillId="0" borderId="2" xfId="0" applyFont="1" applyBorder="1" applyAlignment="1">
      <alignment horizontal="centerContinuous"/>
    </xf>
    <xf numFmtId="0" fontId="4" fillId="0" borderId="3" xfId="0" applyFont="1" applyBorder="1" applyAlignment="1">
      <alignment horizontal="centerContinuous"/>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41" fontId="2" fillId="0" borderId="0" xfId="0" applyNumberFormat="1" applyFont="1" applyProtection="1">
      <protection locked="0"/>
    </xf>
    <xf numFmtId="42" fontId="2" fillId="0" borderId="0" xfId="0" applyNumberFormat="1" applyFont="1"/>
    <xf numFmtId="0" fontId="2" fillId="0" borderId="0" xfId="0" quotePrefix="1" applyFont="1" applyAlignment="1">
      <alignment horizontal="left"/>
    </xf>
    <xf numFmtId="42" fontId="0" fillId="0" borderId="0" xfId="0" applyNumberFormat="1"/>
    <xf numFmtId="168" fontId="2" fillId="0" borderId="0" xfId="0" applyNumberFormat="1" applyFont="1" applyAlignment="1">
      <alignment horizontal="left"/>
    </xf>
    <xf numFmtId="41" fontId="6" fillId="0" borderId="0" xfId="0" applyNumberFormat="1" applyFont="1"/>
    <xf numFmtId="0" fontId="2" fillId="0" borderId="21" xfId="0" applyFont="1" applyBorder="1"/>
    <xf numFmtId="41" fontId="2" fillId="0" borderId="0" xfId="0" applyNumberFormat="1" applyFont="1" applyAlignment="1">
      <alignment vertical="center"/>
    </xf>
    <xf numFmtId="41" fontId="2" fillId="0" borderId="0" xfId="0" applyNumberFormat="1" applyFont="1"/>
    <xf numFmtId="43" fontId="0" fillId="0" borderId="0" xfId="0" applyNumberFormat="1"/>
    <xf numFmtId="0" fontId="7" fillId="0" borderId="31" xfId="0" applyFont="1" applyBorder="1" applyAlignment="1">
      <alignment horizontal="center"/>
    </xf>
    <xf numFmtId="0" fontId="7" fillId="0" borderId="0" xfId="0" applyFont="1" applyAlignment="1">
      <alignment horizontal="center"/>
    </xf>
    <xf numFmtId="0" fontId="4" fillId="0" borderId="1" xfId="0" applyFont="1" applyBorder="1" applyAlignment="1">
      <alignment horizontal="centerContinuous"/>
    </xf>
    <xf numFmtId="0" fontId="3" fillId="0" borderId="0" xfId="0" applyFont="1" applyAlignment="1">
      <alignment horizontal="centerContinuous"/>
    </xf>
    <xf numFmtId="0" fontId="2" fillId="0" borderId="0" xfId="0" applyFont="1" applyAlignment="1">
      <alignment horizontal="centerContinuous"/>
    </xf>
    <xf numFmtId="0" fontId="3" fillId="0" borderId="31" xfId="0" applyFont="1" applyBorder="1" applyAlignment="1">
      <alignment horizontal="center"/>
    </xf>
    <xf numFmtId="0" fontId="2" fillId="0" borderId="31" xfId="0" applyFont="1" applyBorder="1"/>
    <xf numFmtId="10" fontId="2" fillId="0" borderId="0" xfId="0" applyNumberFormat="1" applyFont="1"/>
    <xf numFmtId="171" fontId="2" fillId="0" borderId="0" xfId="0" applyNumberFormat="1" applyFont="1"/>
    <xf numFmtId="172" fontId="2" fillId="0" borderId="0" xfId="0" applyNumberFormat="1" applyFont="1"/>
    <xf numFmtId="171" fontId="2" fillId="0" borderId="31" xfId="0" applyNumberFormat="1" applyFont="1" applyBorder="1"/>
    <xf numFmtId="165" fontId="2" fillId="0" borderId="0" xfId="0" applyNumberFormat="1" applyFont="1"/>
    <xf numFmtId="9" fontId="2" fillId="0" borderId="0" xfId="0" applyNumberFormat="1" applyFont="1"/>
    <xf numFmtId="171" fontId="2" fillId="0" borderId="28" xfId="0" applyNumberFormat="1" applyFont="1" applyBorder="1" applyProtection="1">
      <protection locked="0"/>
    </xf>
    <xf numFmtId="173" fontId="2" fillId="0" borderId="0" xfId="0" applyNumberFormat="1" applyFont="1"/>
    <xf numFmtId="0" fontId="2" fillId="0" borderId="0" xfId="0" quotePrefix="1" applyFont="1"/>
    <xf numFmtId="0" fontId="2" fillId="0" borderId="31" xfId="0" quotePrefix="1" applyFont="1" applyBorder="1" applyAlignment="1">
      <alignment horizontal="center"/>
    </xf>
    <xf numFmtId="0" fontId="7" fillId="0" borderId="0" xfId="0" applyFont="1"/>
    <xf numFmtId="0" fontId="11" fillId="0" borderId="0" xfId="0" applyFont="1"/>
    <xf numFmtId="3" fontId="11" fillId="0" borderId="0" xfId="0" applyNumberFormat="1" applyFont="1"/>
    <xf numFmtId="0" fontId="2" fillId="0" borderId="34" xfId="0" applyFont="1" applyBorder="1" applyAlignment="1">
      <alignment horizontal="right"/>
    </xf>
    <xf numFmtId="0" fontId="3" fillId="0" borderId="35" xfId="0" applyFont="1" applyBorder="1" applyAlignment="1">
      <alignment horizontal="right"/>
    </xf>
    <xf numFmtId="0" fontId="3" fillId="0" borderId="0" xfId="0" applyFont="1" applyAlignment="1" applyProtection="1">
      <alignment horizontal="centerContinuous"/>
      <protection locked="0"/>
    </xf>
    <xf numFmtId="0" fontId="3" fillId="0" borderId="0" xfId="0" quotePrefix="1" applyFont="1" applyAlignment="1">
      <alignment horizontal="centerContinuous"/>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lignment horizontal="left"/>
    </xf>
    <xf numFmtId="0" fontId="3" fillId="0" borderId="0" xfId="0" applyFont="1" applyAlignment="1" applyProtection="1">
      <alignment horizontal="left"/>
      <protection locked="0"/>
    </xf>
    <xf numFmtId="0" fontId="3" fillId="0" borderId="31" xfId="0" applyFont="1" applyBorder="1" applyAlignment="1" applyProtection="1">
      <alignment horizontal="center"/>
      <protection locked="0"/>
    </xf>
    <xf numFmtId="0" fontId="3" fillId="0" borderId="31" xfId="0" quotePrefix="1" applyFont="1" applyBorder="1" applyAlignment="1">
      <alignment horizontal="center"/>
    </xf>
    <xf numFmtId="0" fontId="3" fillId="0" borderId="31" xfId="0" applyFont="1" applyBorder="1" applyAlignment="1" applyProtection="1">
      <alignment horizontal="left" wrapText="1"/>
      <protection locked="0"/>
    </xf>
    <xf numFmtId="0" fontId="3" fillId="0" borderId="31" xfId="0" applyFont="1" applyBorder="1"/>
    <xf numFmtId="0" fontId="3" fillId="0" borderId="31" xfId="0" quotePrefix="1" applyFont="1" applyBorder="1" applyAlignment="1" applyProtection="1">
      <alignment horizontal="center"/>
      <protection locked="0"/>
    </xf>
    <xf numFmtId="0" fontId="3" fillId="0" borderId="31" xfId="0" applyFont="1" applyBorder="1" applyProtection="1">
      <protection locked="0"/>
    </xf>
    <xf numFmtId="0" fontId="3" fillId="0" borderId="31" xfId="0" applyFont="1" applyBorder="1" applyAlignment="1">
      <alignment horizontal="left"/>
    </xf>
    <xf numFmtId="0" fontId="2" fillId="0" borderId="0" xfId="0" applyFont="1" applyAlignment="1">
      <alignment horizontal="fill"/>
    </xf>
    <xf numFmtId="17" fontId="2" fillId="0" borderId="0" xfId="0" applyNumberFormat="1" applyFont="1" applyAlignment="1">
      <alignment horizontal="left"/>
    </xf>
    <xf numFmtId="0" fontId="4" fillId="0" borderId="0" xfId="0" applyFont="1" applyAlignment="1">
      <alignment horizontal="center"/>
    </xf>
    <xf numFmtId="0" fontId="12" fillId="0" borderId="0" xfId="0" applyFont="1"/>
    <xf numFmtId="0" fontId="2" fillId="0" borderId="0" xfId="0" applyFont="1" applyAlignment="1" applyProtection="1">
      <alignment horizontal="center"/>
      <protection locked="0"/>
    </xf>
    <xf numFmtId="0" fontId="2" fillId="0" borderId="0" xfId="0" applyFont="1" applyAlignment="1">
      <alignment horizontal="left" indent="2"/>
    </xf>
    <xf numFmtId="41" fontId="2" fillId="0" borderId="0" xfId="0" applyNumberFormat="1" applyFont="1" applyAlignment="1">
      <alignment horizontal="center"/>
    </xf>
    <xf numFmtId="42" fontId="2" fillId="0" borderId="0" xfId="0" applyNumberFormat="1" applyFont="1" applyAlignment="1">
      <alignment horizontal="right"/>
    </xf>
    <xf numFmtId="176" fontId="2" fillId="0" borderId="0" xfId="0" quotePrefix="1" applyNumberFormat="1" applyFont="1" applyAlignment="1">
      <alignment horizontal="left"/>
    </xf>
    <xf numFmtId="0" fontId="2" fillId="0" borderId="0" xfId="0" applyFont="1" applyProtection="1">
      <protection locked="0"/>
    </xf>
    <xf numFmtId="42" fontId="2" fillId="0" borderId="0" xfId="0" applyNumberFormat="1" applyFont="1" applyProtection="1">
      <protection locked="0"/>
    </xf>
    <xf numFmtId="42" fontId="2" fillId="0" borderId="0" xfId="0" applyNumberFormat="1" applyFont="1" applyAlignment="1">
      <alignment horizontal="left"/>
    </xf>
    <xf numFmtId="42" fontId="2" fillId="0" borderId="0" xfId="0" applyNumberFormat="1" applyFont="1" applyAlignment="1" applyProtection="1">
      <alignment horizontal="right"/>
      <protection locked="0"/>
    </xf>
    <xf numFmtId="0" fontId="13" fillId="0" borderId="0" xfId="0" applyFont="1"/>
    <xf numFmtId="0" fontId="13" fillId="0" borderId="0" xfId="0" applyFont="1" applyAlignment="1">
      <alignment horizontal="left"/>
    </xf>
    <xf numFmtId="42" fontId="14" fillId="0" borderId="0" xfId="0" applyNumberFormat="1" applyFont="1"/>
    <xf numFmtId="10" fontId="13" fillId="0" borderId="0" xfId="0" applyNumberFormat="1" applyFont="1" applyAlignment="1">
      <alignment horizontal="center"/>
    </xf>
    <xf numFmtId="37" fontId="2" fillId="0" borderId="0" xfId="0" applyNumberFormat="1" applyFont="1"/>
    <xf numFmtId="41" fontId="2" fillId="0" borderId="31" xfId="0" applyNumberFormat="1" applyFont="1" applyBorder="1" applyAlignment="1">
      <alignment horizontal="center"/>
    </xf>
    <xf numFmtId="41" fontId="2" fillId="0" borderId="31" xfId="0" applyNumberFormat="1" applyFont="1" applyBorder="1"/>
    <xf numFmtId="166" fontId="2" fillId="0" borderId="0" xfId="0" applyNumberFormat="1" applyFont="1"/>
    <xf numFmtId="37" fontId="2" fillId="0" borderId="0" xfId="0" applyNumberFormat="1" applyFont="1" applyAlignment="1">
      <alignment horizontal="right"/>
    </xf>
    <xf numFmtId="177" fontId="2" fillId="0" borderId="0" xfId="0" applyNumberFormat="1" applyFont="1" applyAlignment="1">
      <alignment horizontal="right"/>
    </xf>
    <xf numFmtId="165" fontId="2" fillId="0" borderId="0" xfId="0" applyNumberFormat="1" applyFont="1" applyAlignment="1" applyProtection="1">
      <alignment horizontal="right"/>
      <protection locked="0"/>
    </xf>
    <xf numFmtId="10" fontId="2" fillId="0" borderId="0" xfId="0" applyNumberFormat="1" applyFont="1" applyAlignment="1">
      <alignment horizontal="center"/>
    </xf>
    <xf numFmtId="49" fontId="2" fillId="0" borderId="0" xfId="0" applyNumberFormat="1" applyFont="1" applyAlignment="1">
      <alignment horizontal="left"/>
    </xf>
    <xf numFmtId="165" fontId="2" fillId="0" borderId="0" xfId="0" applyNumberFormat="1" applyFont="1" applyProtection="1">
      <protection locked="0"/>
    </xf>
    <xf numFmtId="175" fontId="2" fillId="0" borderId="0" xfId="0" applyNumberFormat="1" applyFont="1" applyAlignment="1">
      <alignment horizontal="center"/>
    </xf>
    <xf numFmtId="9" fontId="2" fillId="0" borderId="0" xfId="0" applyNumberFormat="1" applyFont="1" applyAlignment="1">
      <alignment horizontal="center"/>
    </xf>
    <xf numFmtId="15" fontId="2" fillId="0" borderId="0" xfId="0" applyNumberFormat="1" applyFont="1"/>
    <xf numFmtId="173" fontId="2" fillId="0" borderId="0" xfId="0" applyNumberFormat="1" applyFont="1" applyAlignment="1">
      <alignment horizontal="right"/>
    </xf>
    <xf numFmtId="41" fontId="2" fillId="0" borderId="0" xfId="0" applyNumberFormat="1" applyFont="1" applyAlignment="1">
      <alignment horizontal="right"/>
    </xf>
    <xf numFmtId="9" fontId="2" fillId="0" borderId="0" xfId="0" applyNumberFormat="1" applyFont="1" applyAlignment="1">
      <alignment horizontal="left"/>
    </xf>
    <xf numFmtId="41" fontId="2" fillId="0" borderId="0" xfId="0" applyNumberFormat="1" applyFont="1" applyAlignment="1" applyProtection="1">
      <alignment horizontal="right"/>
      <protection locked="0"/>
    </xf>
    <xf numFmtId="175" fontId="3" fillId="0" borderId="0" xfId="0" applyNumberFormat="1" applyFont="1" applyAlignment="1">
      <alignment horizontal="center"/>
    </xf>
    <xf numFmtId="171" fontId="2" fillId="0" borderId="0" xfId="0" quotePrefix="1" applyNumberFormat="1" applyFont="1" applyAlignment="1">
      <alignment horizontal="left"/>
    </xf>
    <xf numFmtId="0" fontId="2" fillId="0" borderId="0" xfId="0" applyFont="1" applyAlignment="1">
      <alignment vertical="center"/>
    </xf>
    <xf numFmtId="3" fontId="2" fillId="0" borderId="0" xfId="0" applyNumberFormat="1" applyFont="1"/>
    <xf numFmtId="41" fontId="2" fillId="0" borderId="31" xfId="0" applyNumberFormat="1" applyFont="1" applyBorder="1" applyAlignment="1">
      <alignment horizontal="right"/>
    </xf>
    <xf numFmtId="165" fontId="2" fillId="0" borderId="31" xfId="0" applyNumberFormat="1" applyFont="1" applyBorder="1" applyAlignment="1" applyProtection="1">
      <alignment horizontal="right"/>
      <protection locked="0"/>
    </xf>
    <xf numFmtId="0" fontId="3" fillId="0" borderId="0" xfId="0" applyFont="1" applyAlignment="1">
      <alignment horizontal="left" vertical="top"/>
    </xf>
    <xf numFmtId="0" fontId="2" fillId="0" borderId="0" xfId="0" applyFont="1" applyAlignment="1">
      <alignment horizontal="center" vertical="top"/>
    </xf>
    <xf numFmtId="165" fontId="2" fillId="0" borderId="0" xfId="0" applyNumberFormat="1" applyFont="1" applyAlignment="1">
      <alignment horizontal="left"/>
    </xf>
    <xf numFmtId="0" fontId="2" fillId="0" borderId="0" xfId="0" applyFont="1" applyAlignment="1">
      <alignment horizontal="left" vertical="center"/>
    </xf>
    <xf numFmtId="9" fontId="2" fillId="0" borderId="0" xfId="0" applyNumberFormat="1" applyFont="1" applyAlignment="1">
      <alignment horizontal="right"/>
    </xf>
    <xf numFmtId="166" fontId="2" fillId="0" borderId="0" xfId="0" applyNumberFormat="1" applyFont="1" applyAlignment="1" applyProtection="1">
      <alignment vertical="center"/>
      <protection locked="0"/>
    </xf>
    <xf numFmtId="175" fontId="2" fillId="0" borderId="0" xfId="0" applyNumberFormat="1" applyFont="1" applyProtection="1">
      <protection locked="0"/>
    </xf>
    <xf numFmtId="178" fontId="2" fillId="0" borderId="0" xfId="0" applyNumberFormat="1" applyFont="1"/>
    <xf numFmtId="171" fontId="3" fillId="0" borderId="0" xfId="0" applyNumberFormat="1" applyFont="1" applyAlignment="1" applyProtection="1">
      <alignment horizontal="centerContinuous"/>
      <protection locked="0"/>
    </xf>
    <xf numFmtId="171" fontId="3" fillId="0" borderId="0" xfId="0" applyNumberFormat="1" applyFont="1" applyAlignment="1">
      <alignment horizontal="left"/>
    </xf>
    <xf numFmtId="171" fontId="3" fillId="0" borderId="0" xfId="0" applyNumberFormat="1" applyFont="1" applyAlignment="1" applyProtection="1">
      <alignment horizontal="left"/>
      <protection locked="0"/>
    </xf>
    <xf numFmtId="171" fontId="3" fillId="0" borderId="0" xfId="0" applyNumberFormat="1" applyFont="1" applyAlignment="1">
      <alignment horizontal="center"/>
    </xf>
    <xf numFmtId="171" fontId="3" fillId="0" borderId="31" xfId="0" applyNumberFormat="1" applyFont="1" applyBorder="1" applyAlignment="1">
      <alignment horizontal="center"/>
    </xf>
    <xf numFmtId="171" fontId="3" fillId="0" borderId="31" xfId="0" applyNumberFormat="1" applyFont="1" applyBorder="1" applyAlignment="1">
      <alignment horizontal="left"/>
    </xf>
    <xf numFmtId="42" fontId="2" fillId="0" borderId="0" xfId="0" applyNumberFormat="1" applyFont="1" applyAlignment="1">
      <alignment horizontal="left" wrapText="1"/>
    </xf>
    <xf numFmtId="0" fontId="2" fillId="0" borderId="0" xfId="0" applyFont="1" applyAlignment="1" applyProtection="1">
      <alignment horizontal="left"/>
      <protection locked="0"/>
    </xf>
    <xf numFmtId="165" fontId="2" fillId="0" borderId="0" xfId="0" applyNumberFormat="1" applyFont="1" applyAlignment="1">
      <alignment horizontal="left" wrapText="1"/>
    </xf>
    <xf numFmtId="37" fontId="2" fillId="0" borderId="31" xfId="0" applyNumberFormat="1" applyFont="1" applyBorder="1"/>
    <xf numFmtId="0" fontId="0" fillId="5" borderId="0" xfId="0" applyFill="1"/>
    <xf numFmtId="0" fontId="0" fillId="6" borderId="0" xfId="0" applyFill="1"/>
    <xf numFmtId="0" fontId="0" fillId="7" borderId="0" xfId="0" applyFill="1"/>
    <xf numFmtId="42" fontId="0" fillId="5" borderId="19" xfId="0" applyNumberFormat="1" applyFill="1" applyBorder="1"/>
    <xf numFmtId="9" fontId="0" fillId="0" borderId="0" xfId="0" applyNumberFormat="1"/>
    <xf numFmtId="0" fontId="16" fillId="0" borderId="0" xfId="0" applyFont="1" applyAlignment="1">
      <alignment horizontal="centerContinuous"/>
    </xf>
    <xf numFmtId="0" fontId="16" fillId="0" borderId="0" xfId="0" applyFont="1" applyAlignment="1" applyProtection="1">
      <alignment horizontal="centerContinuous"/>
      <protection locked="0"/>
    </xf>
    <xf numFmtId="0" fontId="16" fillId="0" borderId="0" xfId="0" applyFont="1"/>
    <xf numFmtId="0" fontId="18" fillId="0" borderId="0" xfId="0" applyFont="1"/>
    <xf numFmtId="0" fontId="18" fillId="0" borderId="0" xfId="0" applyFont="1" applyAlignment="1">
      <alignment horizontal="centerContinuous"/>
    </xf>
    <xf numFmtId="0" fontId="20" fillId="0" borderId="0" xfId="0" applyFont="1" applyAlignment="1">
      <alignment horizontal="center"/>
    </xf>
    <xf numFmtId="0" fontId="2" fillId="0" borderId="22" xfId="0" applyFont="1" applyBorder="1" applyAlignment="1">
      <alignment horizontal="left"/>
    </xf>
    <xf numFmtId="0" fontId="2" fillId="0" borderId="0" xfId="0" applyFont="1" applyAlignment="1">
      <alignment horizontal="right"/>
    </xf>
    <xf numFmtId="10" fontId="3" fillId="2" borderId="10" xfId="0" applyNumberFormat="1" applyFont="1" applyFill="1" applyBorder="1"/>
    <xf numFmtId="10" fontId="3" fillId="2" borderId="15" xfId="0" applyNumberFormat="1" applyFont="1" applyFill="1" applyBorder="1"/>
    <xf numFmtId="10" fontId="3" fillId="2" borderId="4" xfId="0" applyNumberFormat="1" applyFont="1" applyFill="1" applyBorder="1"/>
    <xf numFmtId="0" fontId="6" fillId="0" borderId="0" xfId="0" applyFont="1" applyAlignment="1">
      <alignment horizontal="left"/>
    </xf>
    <xf numFmtId="5" fontId="2" fillId="0" borderId="0" xfId="0" applyNumberFormat="1" applyFont="1"/>
    <xf numFmtId="0" fontId="22" fillId="0" borderId="0" xfId="0" applyFont="1"/>
    <xf numFmtId="0" fontId="3" fillId="0" borderId="0" xfId="0" applyFont="1" applyAlignment="1">
      <alignment horizontal="left" indent="2"/>
    </xf>
    <xf numFmtId="41" fontId="0" fillId="0" borderId="0" xfId="0" applyNumberFormat="1"/>
    <xf numFmtId="171" fontId="13" fillId="0" borderId="0" xfId="0" applyNumberFormat="1" applyFont="1" applyAlignment="1">
      <alignment horizontal="left"/>
    </xf>
    <xf numFmtId="171" fontId="2" fillId="0" borderId="0" xfId="0" applyNumberFormat="1" applyFont="1" applyAlignment="1">
      <alignment horizontal="left"/>
    </xf>
    <xf numFmtId="171" fontId="2" fillId="0" borderId="0" xfId="0" applyNumberFormat="1" applyFont="1" applyAlignment="1">
      <alignment horizontal="left" wrapText="1"/>
    </xf>
    <xf numFmtId="171" fontId="13" fillId="0" borderId="0" xfId="0" applyNumberFormat="1" applyFont="1"/>
    <xf numFmtId="0" fontId="6" fillId="0" borderId="0" xfId="0" applyFont="1"/>
    <xf numFmtId="166" fontId="0" fillId="0" borderId="0" xfId="0" applyNumberFormat="1"/>
    <xf numFmtId="41" fontId="2" fillId="0" borderId="31" xfId="0" applyNumberFormat="1" applyFont="1" applyBorder="1" applyAlignment="1">
      <alignment vertical="center"/>
    </xf>
    <xf numFmtId="10" fontId="0" fillId="0" borderId="0" xfId="0" applyNumberFormat="1"/>
    <xf numFmtId="42" fontId="6" fillId="0" borderId="0" xfId="0" applyNumberFormat="1" applyFont="1"/>
    <xf numFmtId="41" fontId="6" fillId="0" borderId="31" xfId="0" applyNumberFormat="1" applyFont="1" applyBorder="1" applyProtection="1">
      <protection locked="0"/>
    </xf>
    <xf numFmtId="0" fontId="26" fillId="0" borderId="0" xfId="0" applyFont="1" applyAlignment="1">
      <alignment horizontal="left"/>
    </xf>
    <xf numFmtId="0" fontId="6" fillId="0" borderId="0" xfId="0" applyFont="1" applyAlignment="1">
      <alignment horizontal="left" indent="2"/>
    </xf>
    <xf numFmtId="0" fontId="6" fillId="0" borderId="0" xfId="0" applyFont="1" applyAlignment="1">
      <alignment horizontal="left" indent="1"/>
    </xf>
    <xf numFmtId="0" fontId="2" fillId="0" borderId="40" xfId="0" applyFont="1" applyBorder="1"/>
    <xf numFmtId="10" fontId="2" fillId="0" borderId="4" xfId="0" applyNumberFormat="1" applyFont="1" applyBorder="1"/>
    <xf numFmtId="0" fontId="2" fillId="0" borderId="22" xfId="0" applyFont="1" applyBorder="1"/>
    <xf numFmtId="42" fontId="0" fillId="0" borderId="39" xfId="0" applyNumberFormat="1" applyBorder="1"/>
    <xf numFmtId="42" fontId="0" fillId="0" borderId="38" xfId="0" applyNumberFormat="1" applyBorder="1"/>
    <xf numFmtId="42" fontId="0" fillId="0" borderId="43" xfId="0" applyNumberFormat="1" applyBorder="1"/>
    <xf numFmtId="41" fontId="2" fillId="2" borderId="14" xfId="0" applyNumberFormat="1" applyFont="1" applyFill="1" applyBorder="1"/>
    <xf numFmtId="42" fontId="0" fillId="0" borderId="44" xfId="0" applyNumberFormat="1" applyBorder="1"/>
    <xf numFmtId="0" fontId="0" fillId="8" borderId="0" xfId="0" applyFill="1"/>
    <xf numFmtId="0" fontId="10" fillId="8" borderId="0" xfId="0" applyFont="1" applyFill="1"/>
    <xf numFmtId="41" fontId="0" fillId="8" borderId="0" xfId="0" applyNumberFormat="1" applyFill="1"/>
    <xf numFmtId="165" fontId="2" fillId="0" borderId="31" xfId="0" applyNumberFormat="1" applyFont="1" applyBorder="1"/>
    <xf numFmtId="0" fontId="24" fillId="0" borderId="0" xfId="0" applyFont="1"/>
    <xf numFmtId="0" fontId="24" fillId="0" borderId="0" xfId="0" applyFont="1" applyAlignment="1">
      <alignment horizontal="center"/>
    </xf>
    <xf numFmtId="3" fontId="27" fillId="0" borderId="0" xfId="0" applyNumberFormat="1" applyFont="1"/>
    <xf numFmtId="165" fontId="14" fillId="0" borderId="0" xfId="0" applyNumberFormat="1" applyFont="1"/>
    <xf numFmtId="0" fontId="15" fillId="0" borderId="0" xfId="0" applyFont="1"/>
    <xf numFmtId="165" fontId="15" fillId="0" borderId="0" xfId="0" applyNumberFormat="1" applyFont="1"/>
    <xf numFmtId="0" fontId="19" fillId="0" borderId="0" xfId="0" applyFont="1"/>
    <xf numFmtId="165" fontId="30" fillId="0" borderId="0" xfId="0" applyNumberFormat="1" applyFont="1" applyAlignment="1">
      <alignment horizontal="left"/>
    </xf>
    <xf numFmtId="165" fontId="6" fillId="10" borderId="0" xfId="0" applyNumberFormat="1" applyFont="1" applyFill="1" applyAlignment="1">
      <alignment horizontal="centerContinuous"/>
    </xf>
    <xf numFmtId="165" fontId="6" fillId="0" borderId="43" xfId="0" applyNumberFormat="1" applyFont="1" applyBorder="1"/>
    <xf numFmtId="171" fontId="5" fillId="0" borderId="0" xfId="0" applyNumberFormat="1" applyFont="1"/>
    <xf numFmtId="0" fontId="3" fillId="0" borderId="0" xfId="0" applyFont="1" applyAlignment="1">
      <alignment horizontal="left" indent="1"/>
    </xf>
    <xf numFmtId="171" fontId="6" fillId="0" borderId="0" xfId="0" applyNumberFormat="1" applyFont="1" applyAlignment="1">
      <alignment horizontal="left" indent="1"/>
    </xf>
    <xf numFmtId="171" fontId="6" fillId="0" borderId="0" xfId="0" applyNumberFormat="1" applyFont="1"/>
    <xf numFmtId="171" fontId="21" fillId="0" borderId="0" xfId="0" applyNumberFormat="1" applyFont="1"/>
    <xf numFmtId="171" fontId="6" fillId="0" borderId="0" xfId="0" applyNumberFormat="1" applyFont="1" applyAlignment="1">
      <alignment horizontal="left"/>
    </xf>
    <xf numFmtId="9" fontId="6" fillId="0" borderId="0" xfId="0" applyNumberFormat="1" applyFont="1" applyAlignment="1">
      <alignment horizontal="right"/>
    </xf>
    <xf numFmtId="0" fontId="2" fillId="0" borderId="47" xfId="0" applyFont="1" applyBorder="1"/>
    <xf numFmtId="0" fontId="3" fillId="0" borderId="49" xfId="0" quotePrefix="1" applyFont="1" applyBorder="1" applyAlignment="1">
      <alignment horizontal="centerContinuous"/>
    </xf>
    <xf numFmtId="0" fontId="3" fillId="0" borderId="45" xfId="0" quotePrefix="1" applyFont="1" applyBorder="1" applyAlignment="1">
      <alignment horizontal="centerContinuous"/>
    </xf>
    <xf numFmtId="0" fontId="3" fillId="0" borderId="46" xfId="0" applyFont="1" applyBorder="1" applyAlignment="1">
      <alignment horizontal="center"/>
    </xf>
    <xf numFmtId="0" fontId="3" fillId="0" borderId="48"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2" fillId="0" borderId="15" xfId="0" applyFont="1" applyBorder="1" applyAlignment="1">
      <alignment horizontal="center" wrapText="1"/>
    </xf>
    <xf numFmtId="0" fontId="2" fillId="0" borderId="41" xfId="0" applyFont="1" applyBorder="1" applyAlignment="1">
      <alignment horizontal="center" wrapText="1"/>
    </xf>
    <xf numFmtId="0" fontId="2" fillId="0" borderId="41" xfId="0" applyFont="1" applyBorder="1"/>
    <xf numFmtId="166" fontId="2" fillId="0" borderId="41" xfId="0" applyNumberFormat="1" applyFont="1" applyBorder="1"/>
    <xf numFmtId="165" fontId="2" fillId="0" borderId="41" xfId="0" applyNumberFormat="1" applyFont="1" applyBorder="1"/>
    <xf numFmtId="42" fontId="2" fillId="0" borderId="46" xfId="0" applyNumberFormat="1" applyFont="1" applyBorder="1"/>
    <xf numFmtId="42" fontId="2" fillId="0" borderId="48" xfId="0" applyNumberFormat="1" applyFont="1" applyBorder="1"/>
    <xf numFmtId="165" fontId="2" fillId="0" borderId="46" xfId="0" applyNumberFormat="1" applyFont="1" applyBorder="1" applyProtection="1">
      <protection locked="0"/>
    </xf>
    <xf numFmtId="165" fontId="2" fillId="0" borderId="48" xfId="0" applyNumberFormat="1" applyFont="1" applyBorder="1" applyProtection="1">
      <protection locked="0"/>
    </xf>
    <xf numFmtId="165" fontId="2" fillId="0" borderId="41" xfId="0" applyNumberFormat="1" applyFont="1" applyBorder="1" applyProtection="1">
      <protection locked="0"/>
    </xf>
    <xf numFmtId="41" fontId="2" fillId="0" borderId="50" xfId="0" applyNumberFormat="1" applyFont="1" applyBorder="1" applyProtection="1">
      <protection locked="0"/>
    </xf>
    <xf numFmtId="0" fontId="2" fillId="0" borderId="46" xfId="0" applyFont="1" applyBorder="1"/>
    <xf numFmtId="0" fontId="2" fillId="0" borderId="48" xfId="0" applyFont="1" applyBorder="1"/>
    <xf numFmtId="42" fontId="2" fillId="0" borderId="51" xfId="0" applyNumberFormat="1" applyFont="1" applyBorder="1" applyProtection="1">
      <protection locked="0"/>
    </xf>
    <xf numFmtId="10" fontId="2" fillId="0" borderId="41" xfId="0" applyNumberFormat="1" applyFont="1" applyBorder="1"/>
    <xf numFmtId="164" fontId="2" fillId="0" borderId="41" xfId="0" applyNumberFormat="1" applyFont="1" applyBorder="1"/>
    <xf numFmtId="42" fontId="2" fillId="0" borderId="15" xfId="0" applyNumberFormat="1" applyFont="1" applyBorder="1" applyProtection="1">
      <protection locked="0"/>
    </xf>
    <xf numFmtId="42" fontId="2" fillId="0" borderId="41" xfId="0" applyNumberFormat="1" applyFont="1" applyBorder="1" applyProtection="1">
      <protection locked="0"/>
    </xf>
    <xf numFmtId="42" fontId="2" fillId="0" borderId="52" xfId="0" applyNumberFormat="1" applyFont="1" applyBorder="1"/>
    <xf numFmtId="42" fontId="2" fillId="0" borderId="32" xfId="0" applyNumberFormat="1" applyFont="1" applyBorder="1"/>
    <xf numFmtId="42" fontId="2" fillId="0" borderId="33" xfId="0" applyNumberFormat="1" applyFont="1" applyBorder="1"/>
    <xf numFmtId="42" fontId="17" fillId="0" borderId="0" xfId="0" applyNumberFormat="1" applyFont="1"/>
    <xf numFmtId="41" fontId="17" fillId="0" borderId="0" xfId="0" applyNumberFormat="1" applyFont="1"/>
    <xf numFmtId="41" fontId="32" fillId="0" borderId="0" xfId="0" applyNumberFormat="1" applyFont="1" applyAlignment="1">
      <alignment horizontal="centerContinuous"/>
    </xf>
    <xf numFmtId="0" fontId="32" fillId="0" borderId="0" xfId="0" applyFont="1" applyAlignment="1">
      <alignment horizontal="centerContinuous"/>
    </xf>
    <xf numFmtId="42" fontId="2" fillId="2" borderId="41" xfId="0" applyNumberFormat="1" applyFont="1" applyFill="1" applyBorder="1" applyProtection="1">
      <protection locked="0"/>
    </xf>
    <xf numFmtId="165" fontId="2" fillId="2" borderId="41" xfId="0" applyNumberFormat="1" applyFont="1" applyFill="1" applyBorder="1"/>
    <xf numFmtId="0" fontId="2" fillId="2" borderId="41" xfId="0" applyFont="1" applyFill="1" applyBorder="1"/>
    <xf numFmtId="0" fontId="2" fillId="0" borderId="15" xfId="0" applyFont="1" applyBorder="1" applyAlignment="1">
      <alignment horizontal="left" indent="1"/>
    </xf>
    <xf numFmtId="41" fontId="2" fillId="0" borderId="15" xfId="0" applyNumberFormat="1" applyFont="1" applyBorder="1" applyAlignment="1">
      <alignment horizontal="left" indent="1"/>
    </xf>
    <xf numFmtId="164" fontId="0" fillId="0" borderId="0" xfId="0" applyNumberFormat="1"/>
    <xf numFmtId="5" fontId="0" fillId="0" borderId="0" xfId="0" applyNumberFormat="1"/>
    <xf numFmtId="0" fontId="3" fillId="0" borderId="54" xfId="0" quotePrefix="1" applyFont="1" applyBorder="1" applyAlignment="1">
      <alignment horizontal="centerContinuous"/>
    </xf>
    <xf numFmtId="37" fontId="28" fillId="0" borderId="0" xfId="0" applyNumberFormat="1" applyFont="1"/>
    <xf numFmtId="9" fontId="6" fillId="0" borderId="0" xfId="0" applyNumberFormat="1" applyFont="1"/>
    <xf numFmtId="166" fontId="6" fillId="0" borderId="53" xfId="0" applyNumberFormat="1" applyFont="1" applyBorder="1"/>
    <xf numFmtId="0" fontId="0" fillId="0" borderId="31" xfId="0" applyBorder="1"/>
    <xf numFmtId="42" fontId="2" fillId="2" borderId="0" xfId="0" applyNumberFormat="1" applyFont="1" applyFill="1" applyProtection="1">
      <protection locked="0"/>
    </xf>
    <xf numFmtId="42" fontId="2" fillId="2" borderId="42" xfId="0" applyNumberFormat="1" applyFont="1" applyFill="1" applyBorder="1"/>
    <xf numFmtId="0" fontId="4" fillId="0" borderId="0" xfId="0" applyFont="1" applyAlignment="1">
      <alignment horizontal="centerContinuous"/>
    </xf>
    <xf numFmtId="0" fontId="0" fillId="0" borderId="0" xfId="0" applyAlignment="1">
      <alignment horizontal="centerContinuous"/>
    </xf>
    <xf numFmtId="0" fontId="33" fillId="0" borderId="0" xfId="0" applyFont="1" applyAlignment="1" applyProtection="1">
      <alignment horizontal="centerContinuous"/>
      <protection locked="0"/>
    </xf>
    <xf numFmtId="0" fontId="14" fillId="0" borderId="0" xfId="0" applyFont="1" applyAlignment="1">
      <alignment horizontal="centerContinuous"/>
    </xf>
    <xf numFmtId="0" fontId="14" fillId="0" borderId="0" xfId="0" applyFont="1"/>
    <xf numFmtId="0" fontId="4" fillId="0" borderId="0" xfId="0" applyFont="1" applyProtection="1">
      <protection locked="0"/>
    </xf>
    <xf numFmtId="0" fontId="4" fillId="0" borderId="0" xfId="0" applyFont="1" applyAlignment="1" applyProtection="1">
      <alignment horizontal="center"/>
      <protection locked="0"/>
    </xf>
    <xf numFmtId="0" fontId="4" fillId="0" borderId="0" xfId="0" applyFont="1"/>
    <xf numFmtId="0" fontId="4" fillId="0" borderId="31" xfId="0" applyFont="1" applyBorder="1" applyAlignment="1">
      <alignment horizontal="center"/>
    </xf>
    <xf numFmtId="0" fontId="4" fillId="0" borderId="31" xfId="0" applyFont="1" applyBorder="1" applyAlignment="1">
      <alignment horizontal="left"/>
    </xf>
    <xf numFmtId="0" fontId="4" fillId="0" borderId="31" xfId="0" quotePrefix="1" applyFont="1" applyBorder="1" applyAlignment="1" applyProtection="1">
      <alignment horizontal="center"/>
      <protection locked="0"/>
    </xf>
    <xf numFmtId="0" fontId="14" fillId="0" borderId="0" xfId="0" applyFont="1" applyAlignment="1">
      <alignment horizontal="center"/>
    </xf>
    <xf numFmtId="43" fontId="31" fillId="0" borderId="0" xfId="0" applyNumberFormat="1" applyFont="1"/>
    <xf numFmtId="9" fontId="14" fillId="0" borderId="0" xfId="0" applyNumberFormat="1" applyFont="1"/>
    <xf numFmtId="43" fontId="14" fillId="0" borderId="31" xfId="0" applyNumberFormat="1" applyFont="1" applyBorder="1"/>
    <xf numFmtId="43" fontId="31" fillId="0" borderId="31" xfId="0" applyNumberFormat="1" applyFont="1" applyBorder="1"/>
    <xf numFmtId="0" fontId="31" fillId="0" borderId="0" xfId="0" applyFont="1"/>
    <xf numFmtId="0" fontId="33" fillId="0" borderId="0" xfId="0" applyFont="1" applyAlignment="1">
      <alignment horizontal="centerContinuous"/>
    </xf>
    <xf numFmtId="9" fontId="31" fillId="0" borderId="0" xfId="0" applyNumberFormat="1" applyFont="1"/>
    <xf numFmtId="0" fontId="31" fillId="0" borderId="0" xfId="0" applyFont="1" applyAlignment="1">
      <alignment horizontal="center"/>
    </xf>
    <xf numFmtId="0" fontId="6" fillId="0" borderId="0" xfId="0" applyFont="1" applyAlignment="1">
      <alignment horizontal="center"/>
    </xf>
    <xf numFmtId="43" fontId="6" fillId="0" borderId="0" xfId="0" applyNumberFormat="1" applyFont="1"/>
    <xf numFmtId="43" fontId="14" fillId="0" borderId="0" xfId="0" applyNumberFormat="1" applyFont="1"/>
    <xf numFmtId="0" fontId="2" fillId="0" borderId="61" xfId="0" applyFont="1" applyBorder="1" applyAlignment="1">
      <alignment horizontal="right"/>
    </xf>
    <xf numFmtId="174" fontId="3" fillId="0" borderId="62" xfId="0" applyNumberFormat="1" applyFont="1" applyBorder="1" applyAlignment="1">
      <alignment horizontal="right"/>
    </xf>
    <xf numFmtId="0" fontId="3" fillId="0" borderId="36" xfId="0" applyFont="1" applyBorder="1" applyAlignment="1">
      <alignment horizontal="right"/>
    </xf>
    <xf numFmtId="43" fontId="3" fillId="0" borderId="37" xfId="0" applyNumberFormat="1" applyFont="1" applyBorder="1"/>
    <xf numFmtId="0" fontId="0" fillId="0" borderId="0" xfId="0" applyAlignment="1">
      <alignment horizontal="right"/>
    </xf>
    <xf numFmtId="43" fontId="3" fillId="0" borderId="37" xfId="0" applyNumberFormat="1" applyFont="1" applyBorder="1" applyAlignment="1">
      <alignment horizontal="right"/>
    </xf>
    <xf numFmtId="3" fontId="29" fillId="0" borderId="0" xfId="0" applyNumberFormat="1" applyFont="1" applyAlignment="1">
      <alignment horizontal="right"/>
    </xf>
    <xf numFmtId="165" fontId="31" fillId="0" borderId="31" xfId="0" applyNumberFormat="1" applyFont="1" applyBorder="1"/>
    <xf numFmtId="165" fontId="31" fillId="0" borderId="0" xfId="0" applyNumberFormat="1" applyFont="1"/>
    <xf numFmtId="43" fontId="2" fillId="0" borderId="0" xfId="0" applyNumberFormat="1" applyFont="1" applyProtection="1">
      <protection locked="0"/>
    </xf>
    <xf numFmtId="43" fontId="2" fillId="0" borderId="0" xfId="0" applyNumberFormat="1" applyFont="1"/>
    <xf numFmtId="43" fontId="3" fillId="0" borderId="0" xfId="0" applyNumberFormat="1" applyFont="1"/>
    <xf numFmtId="42" fontId="2" fillId="0" borderId="66" xfId="0" applyNumberFormat="1" applyFont="1" applyBorder="1"/>
    <xf numFmtId="166" fontId="14" fillId="0" borderId="0" xfId="0" applyNumberFormat="1" applyFont="1"/>
    <xf numFmtId="166" fontId="31" fillId="0" borderId="0" xfId="0" applyNumberFormat="1" applyFont="1"/>
    <xf numFmtId="0" fontId="31" fillId="0" borderId="66" xfId="0" applyFont="1" applyBorder="1"/>
    <xf numFmtId="166" fontId="31" fillId="0" borderId="43" xfId="0" applyNumberFormat="1" applyFont="1" applyBorder="1"/>
    <xf numFmtId="166" fontId="6" fillId="0" borderId="0" xfId="0" applyNumberFormat="1" applyFont="1"/>
    <xf numFmtId="165" fontId="6" fillId="0" borderId="0" xfId="0" applyNumberFormat="1" applyFont="1"/>
    <xf numFmtId="165" fontId="6" fillId="0" borderId="31" xfId="0" applyNumberFormat="1" applyFont="1" applyBorder="1"/>
    <xf numFmtId="165" fontId="14" fillId="0" borderId="31" xfId="0" applyNumberFormat="1" applyFont="1" applyBorder="1"/>
    <xf numFmtId="165" fontId="6" fillId="0" borderId="66" xfId="0" applyNumberFormat="1" applyFont="1" applyBorder="1"/>
    <xf numFmtId="166" fontId="6" fillId="0" borderId="43" xfId="0" applyNumberFormat="1" applyFont="1" applyBorder="1"/>
    <xf numFmtId="166" fontId="31" fillId="0" borderId="53" xfId="0" applyNumberFormat="1" applyFont="1" applyBorder="1"/>
    <xf numFmtId="165" fontId="2" fillId="0" borderId="66" xfId="0" applyNumberFormat="1" applyFont="1" applyBorder="1"/>
    <xf numFmtId="165" fontId="2" fillId="0" borderId="0" xfId="0" applyNumberFormat="1" applyFont="1" applyAlignment="1">
      <alignment horizontal="right"/>
    </xf>
    <xf numFmtId="41" fontId="2" fillId="0" borderId="0" xfId="0" applyNumberFormat="1" applyFont="1" applyAlignment="1">
      <alignment horizontal="left" indent="1"/>
    </xf>
    <xf numFmtId="166" fontId="6" fillId="0" borderId="0" xfId="0" applyNumberFormat="1" applyFont="1" applyProtection="1">
      <protection locked="0"/>
    </xf>
    <xf numFmtId="166" fontId="2" fillId="0" borderId="0" xfId="0" applyNumberFormat="1" applyFont="1" applyProtection="1">
      <protection locked="0"/>
    </xf>
    <xf numFmtId="165" fontId="6" fillId="0" borderId="0" xfId="0" applyNumberFormat="1" applyFont="1" applyProtection="1">
      <protection locked="0"/>
    </xf>
    <xf numFmtId="165" fontId="6" fillId="0" borderId="31" xfId="0" applyNumberFormat="1" applyFont="1" applyBorder="1" applyProtection="1">
      <protection locked="0"/>
    </xf>
    <xf numFmtId="165" fontId="2" fillId="0" borderId="31" xfId="0" applyNumberFormat="1" applyFont="1" applyBorder="1" applyProtection="1">
      <protection locked="0"/>
    </xf>
    <xf numFmtId="165" fontId="6" fillId="0" borderId="0" xfId="0" applyNumberFormat="1" applyFont="1" applyAlignment="1">
      <alignment vertical="center"/>
    </xf>
    <xf numFmtId="165" fontId="6" fillId="0" borderId="65" xfId="0" applyNumberFormat="1" applyFont="1" applyBorder="1" applyAlignment="1">
      <alignment vertical="center"/>
    </xf>
    <xf numFmtId="166" fontId="2" fillId="0" borderId="43" xfId="0" applyNumberFormat="1" applyFont="1" applyBorder="1"/>
    <xf numFmtId="166" fontId="2" fillId="0" borderId="53" xfId="0" applyNumberFormat="1" applyFont="1" applyBorder="1"/>
    <xf numFmtId="42" fontId="2" fillId="0" borderId="53" xfId="0" applyNumberFormat="1" applyFont="1" applyBorder="1"/>
    <xf numFmtId="43" fontId="2" fillId="0" borderId="66" xfId="0" applyNumberFormat="1" applyFont="1" applyBorder="1"/>
    <xf numFmtId="0" fontId="2" fillId="0" borderId="56" xfId="0" applyFont="1" applyBorder="1"/>
    <xf numFmtId="0" fontId="2" fillId="0" borderId="59" xfId="0" applyFont="1" applyBorder="1"/>
    <xf numFmtId="165" fontId="2" fillId="0" borderId="56" xfId="0" applyNumberFormat="1" applyFont="1" applyBorder="1" applyProtection="1">
      <protection locked="0"/>
    </xf>
    <xf numFmtId="165" fontId="2" fillId="0" borderId="59" xfId="0" applyNumberFormat="1" applyFont="1" applyBorder="1" applyProtection="1">
      <protection locked="0"/>
    </xf>
    <xf numFmtId="42" fontId="2" fillId="0" borderId="56" xfId="0" applyNumberFormat="1" applyFont="1" applyBorder="1"/>
    <xf numFmtId="42" fontId="2" fillId="0" borderId="59" xfId="0" applyNumberFormat="1" applyFont="1" applyBorder="1"/>
    <xf numFmtId="0" fontId="3" fillId="0" borderId="56" xfId="0" applyFont="1" applyBorder="1" applyAlignment="1">
      <alignment horizontal="center"/>
    </xf>
    <xf numFmtId="0" fontId="3" fillId="0" borderId="59" xfId="0" applyFont="1" applyBorder="1" applyAlignment="1">
      <alignment horizontal="center"/>
    </xf>
    <xf numFmtId="0" fontId="3" fillId="0" borderId="64" xfId="0" quotePrefix="1" applyFont="1" applyBorder="1" applyAlignment="1">
      <alignment horizontal="centerContinuous"/>
    </xf>
    <xf numFmtId="0" fontId="3" fillId="0" borderId="65" xfId="0" quotePrefix="1" applyFont="1" applyBorder="1" applyAlignment="1">
      <alignment horizontal="centerContinuous"/>
    </xf>
    <xf numFmtId="0" fontId="3" fillId="0" borderId="58" xfId="0" quotePrefix="1" applyFont="1" applyBorder="1" applyAlignment="1">
      <alignment horizontal="centerContinuous"/>
    </xf>
    <xf numFmtId="0" fontId="36" fillId="0" borderId="0" xfId="0" applyFont="1"/>
    <xf numFmtId="41" fontId="37" fillId="0" borderId="0" xfId="0" applyNumberFormat="1" applyFont="1" applyAlignment="1">
      <alignment horizontal="left" indent="1"/>
    </xf>
    <xf numFmtId="0" fontId="37" fillId="0" borderId="0" xfId="0" applyFont="1" applyAlignment="1">
      <alignment horizontal="left" indent="1"/>
    </xf>
    <xf numFmtId="0" fontId="3" fillId="0" borderId="20" xfId="0" applyFont="1" applyBorder="1" applyAlignment="1">
      <alignment horizontal="left"/>
    </xf>
    <xf numFmtId="0" fontId="3" fillId="0" borderId="10"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right"/>
    </xf>
    <xf numFmtId="174" fontId="3" fillId="0" borderId="0" xfId="0" applyNumberFormat="1" applyFont="1" applyAlignment="1">
      <alignment horizontal="right"/>
    </xf>
    <xf numFmtId="43" fontId="15" fillId="0" borderId="0" xfId="0" applyNumberFormat="1" applyFont="1"/>
    <xf numFmtId="43" fontId="38" fillId="0" borderId="65" xfId="0" applyNumberFormat="1" applyFont="1" applyBorder="1" applyAlignment="1">
      <alignment vertical="center"/>
    </xf>
    <xf numFmtId="43" fontId="15" fillId="0" borderId="66" xfId="0" applyNumberFormat="1" applyFont="1" applyBorder="1"/>
    <xf numFmtId="10" fontId="15" fillId="0" borderId="0" xfId="0" applyNumberFormat="1" applyFont="1" applyAlignment="1">
      <alignment horizontal="left" indent="1"/>
    </xf>
    <xf numFmtId="0" fontId="15" fillId="0" borderId="0" xfId="0" applyFont="1" applyAlignment="1">
      <alignment horizontal="left" indent="1"/>
    </xf>
    <xf numFmtId="41" fontId="2" fillId="0" borderId="65" xfId="0" applyNumberFormat="1" applyFont="1" applyBorder="1"/>
    <xf numFmtId="0" fontId="44" fillId="0" borderId="0" xfId="0" applyFont="1"/>
    <xf numFmtId="42" fontId="6" fillId="2" borderId="57" xfId="0" applyNumberFormat="1" applyFont="1" applyFill="1" applyBorder="1" applyProtection="1">
      <protection locked="0"/>
    </xf>
    <xf numFmtId="0" fontId="6" fillId="0" borderId="0" xfId="0" applyFont="1" applyAlignment="1">
      <alignment horizontal="right"/>
    </xf>
    <xf numFmtId="0" fontId="2" fillId="0" borderId="66" xfId="0" applyFont="1" applyBorder="1"/>
    <xf numFmtId="41" fontId="31" fillId="0" borderId="0" xfId="0" applyNumberFormat="1" applyFont="1"/>
    <xf numFmtId="42" fontId="19" fillId="0" borderId="0" xfId="0" applyNumberFormat="1" applyFont="1"/>
    <xf numFmtId="37" fontId="6" fillId="0" borderId="0" xfId="0" applyNumberFormat="1" applyFont="1"/>
    <xf numFmtId="37" fontId="6" fillId="0" borderId="31" xfId="0" applyNumberFormat="1" applyFont="1" applyBorder="1"/>
    <xf numFmtId="165" fontId="38" fillId="0" borderId="0" xfId="0" applyNumberFormat="1" applyFont="1"/>
    <xf numFmtId="42" fontId="31" fillId="0" borderId="0" xfId="0" applyNumberFormat="1" applyFont="1"/>
    <xf numFmtId="10" fontId="2" fillId="0" borderId="0" xfId="11" applyNumberFormat="1" applyFont="1"/>
    <xf numFmtId="166" fontId="2" fillId="0" borderId="66" xfId="0" applyNumberFormat="1" applyFont="1" applyBorder="1"/>
    <xf numFmtId="1" fontId="25" fillId="0" borderId="0" xfId="0" applyNumberFormat="1" applyFont="1"/>
    <xf numFmtId="42" fontId="6" fillId="2" borderId="15" xfId="0" applyNumberFormat="1" applyFont="1" applyFill="1" applyBorder="1" applyProtection="1">
      <protection locked="0"/>
    </xf>
    <xf numFmtId="41" fontId="6" fillId="2" borderId="15" xfId="0" applyNumberFormat="1" applyFont="1" applyFill="1" applyBorder="1" applyProtection="1">
      <protection locked="0"/>
    </xf>
    <xf numFmtId="41" fontId="6" fillId="2" borderId="57" xfId="0" applyNumberFormat="1" applyFont="1" applyFill="1" applyBorder="1" applyProtection="1">
      <protection locked="0"/>
    </xf>
    <xf numFmtId="41" fontId="6" fillId="11" borderId="15" xfId="0" applyNumberFormat="1" applyFont="1" applyFill="1" applyBorder="1" applyProtection="1">
      <protection locked="0"/>
    </xf>
    <xf numFmtId="42" fontId="6" fillId="11" borderId="17" xfId="0" applyNumberFormat="1" applyFont="1" applyFill="1" applyBorder="1" applyProtection="1">
      <protection locked="0"/>
    </xf>
    <xf numFmtId="41" fontId="2" fillId="0" borderId="66" xfId="0" applyNumberFormat="1" applyFont="1" applyBorder="1"/>
    <xf numFmtId="10" fontId="6" fillId="0" borderId="0" xfId="0" applyNumberFormat="1" applyFont="1"/>
    <xf numFmtId="0" fontId="6" fillId="0" borderId="26" xfId="0" applyFont="1" applyBorder="1"/>
    <xf numFmtId="165" fontId="6" fillId="0" borderId="26" xfId="0" applyNumberFormat="1" applyFont="1" applyBorder="1"/>
    <xf numFmtId="173" fontId="6" fillId="0" borderId="31" xfId="0" applyNumberFormat="1" applyFont="1" applyBorder="1"/>
    <xf numFmtId="41" fontId="6" fillId="0" borderId="55" xfId="0" applyNumberFormat="1" applyFont="1" applyBorder="1"/>
    <xf numFmtId="0" fontId="14" fillId="0" borderId="0" xfId="0" applyFont="1" applyAlignment="1">
      <alignment horizontal="center" vertical="center"/>
    </xf>
    <xf numFmtId="165" fontId="14" fillId="0" borderId="66" xfId="0" applyNumberFormat="1" applyFont="1" applyBorder="1"/>
    <xf numFmtId="37" fontId="2" fillId="0" borderId="66" xfId="0" applyNumberFormat="1" applyFont="1" applyBorder="1"/>
    <xf numFmtId="175" fontId="2" fillId="0" borderId="66" xfId="0" applyNumberFormat="1" applyFont="1" applyBorder="1" applyAlignment="1" applyProtection="1">
      <alignment horizontal="right"/>
      <protection locked="0"/>
    </xf>
    <xf numFmtId="165" fontId="3" fillId="0" borderId="66" xfId="0" applyNumberFormat="1" applyFont="1" applyBorder="1"/>
    <xf numFmtId="41" fontId="6" fillId="0" borderId="66" xfId="0" applyNumberFormat="1" applyFont="1" applyBorder="1"/>
    <xf numFmtId="0" fontId="14" fillId="0" borderId="0" xfId="0" applyFont="1" applyAlignment="1">
      <alignment horizontal="right"/>
    </xf>
    <xf numFmtId="0" fontId="4" fillId="0" borderId="0" xfId="0" applyFont="1" applyAlignment="1">
      <alignment horizontal="left"/>
    </xf>
    <xf numFmtId="0" fontId="4" fillId="0" borderId="0" xfId="0" applyFont="1" applyAlignment="1">
      <alignment vertical="center"/>
    </xf>
    <xf numFmtId="0" fontId="1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17" fontId="14" fillId="0" borderId="0" xfId="0" applyNumberFormat="1" applyFont="1" applyAlignment="1">
      <alignment horizontal="center"/>
    </xf>
    <xf numFmtId="0" fontId="45" fillId="0" borderId="0" xfId="0" applyFont="1" applyAlignment="1">
      <alignment horizontal="center"/>
    </xf>
    <xf numFmtId="0" fontId="46" fillId="0" borderId="0" xfId="0" applyFont="1" applyAlignment="1">
      <alignment horizontal="center"/>
    </xf>
    <xf numFmtId="0" fontId="4" fillId="5" borderId="23" xfId="0" applyFont="1" applyFill="1" applyBorder="1" applyAlignment="1">
      <alignment horizontal="center"/>
    </xf>
    <xf numFmtId="182" fontId="4" fillId="0" borderId="0" xfId="0" applyNumberFormat="1" applyFont="1" applyAlignment="1" applyProtection="1">
      <alignment horizontal="center"/>
      <protection locked="0"/>
    </xf>
    <xf numFmtId="0" fontId="4" fillId="5" borderId="25" xfId="0" applyFont="1" applyFill="1" applyBorder="1" applyAlignment="1">
      <alignment horizontal="center" vertical="center" wrapText="1"/>
    </xf>
    <xf numFmtId="0" fontId="4" fillId="0" borderId="0" xfId="0" quotePrefix="1" applyFont="1" applyAlignment="1">
      <alignment horizontal="center" vertical="center" wrapText="1"/>
    </xf>
    <xf numFmtId="0" fontId="14" fillId="5" borderId="4" xfId="0" applyFont="1" applyFill="1" applyBorder="1" applyAlignment="1">
      <alignment horizontal="center"/>
    </xf>
    <xf numFmtId="0" fontId="14" fillId="5" borderId="25" xfId="0" applyFont="1" applyFill="1" applyBorder="1" applyAlignment="1">
      <alignment horizontal="center"/>
    </xf>
    <xf numFmtId="0" fontId="14" fillId="6" borderId="0" xfId="0" applyFont="1" applyFill="1"/>
    <xf numFmtId="0" fontId="14" fillId="6" borderId="0" xfId="0" applyFont="1" applyFill="1" applyAlignment="1">
      <alignment horizontal="center"/>
    </xf>
    <xf numFmtId="0" fontId="48" fillId="6" borderId="0" xfId="0" applyFont="1" applyFill="1"/>
    <xf numFmtId="0" fontId="44" fillId="6" borderId="0" xfId="0" applyFont="1" applyFill="1" applyAlignment="1">
      <alignment horizontal="center"/>
    </xf>
    <xf numFmtId="17" fontId="44" fillId="6" borderId="0" xfId="0" applyNumberFormat="1" applyFont="1" applyFill="1" applyAlignment="1">
      <alignment horizontal="center"/>
    </xf>
    <xf numFmtId="17" fontId="14" fillId="6" borderId="0" xfId="0" applyNumberFormat="1" applyFont="1" applyFill="1" applyAlignment="1">
      <alignment horizontal="center"/>
    </xf>
    <xf numFmtId="3" fontId="48" fillId="6" borderId="0" xfId="0" applyNumberFormat="1" applyFont="1" applyFill="1"/>
    <xf numFmtId="170" fontId="4" fillId="6" borderId="0" xfId="0" applyNumberFormat="1" applyFont="1" applyFill="1" applyAlignment="1" applyProtection="1">
      <alignment horizontal="center"/>
      <protection locked="0"/>
    </xf>
    <xf numFmtId="0" fontId="14" fillId="0" borderId="0" xfId="0" applyFont="1" applyAlignment="1">
      <alignment horizontal="left"/>
    </xf>
    <xf numFmtId="0" fontId="49" fillId="0" borderId="0" xfId="0" applyFont="1" applyAlignment="1">
      <alignment horizontal="left"/>
    </xf>
    <xf numFmtId="0" fontId="14" fillId="5" borderId="25" xfId="0" applyFont="1" applyFill="1" applyBorder="1"/>
    <xf numFmtId="42" fontId="14" fillId="5" borderId="25" xfId="0" applyNumberFormat="1" applyFont="1" applyFill="1" applyBorder="1" applyProtection="1">
      <protection locked="0"/>
    </xf>
    <xf numFmtId="42" fontId="31" fillId="0" borderId="0" xfId="0" applyNumberFormat="1" applyFont="1" applyProtection="1">
      <protection locked="0"/>
    </xf>
    <xf numFmtId="42" fontId="14" fillId="0" borderId="0" xfId="0" applyNumberFormat="1" applyFont="1" applyProtection="1">
      <protection locked="0"/>
    </xf>
    <xf numFmtId="41" fontId="14" fillId="5" borderId="25" xfId="0" applyNumberFormat="1" applyFont="1" applyFill="1" applyBorder="1" applyProtection="1">
      <protection locked="0"/>
    </xf>
    <xf numFmtId="41" fontId="31" fillId="0" borderId="0" xfId="0" applyNumberFormat="1" applyFont="1" applyProtection="1">
      <protection locked="0"/>
    </xf>
    <xf numFmtId="41" fontId="14" fillId="0" borderId="0" xfId="0" applyNumberFormat="1" applyFont="1" applyProtection="1">
      <protection locked="0"/>
    </xf>
    <xf numFmtId="165" fontId="14" fillId="5" borderId="23" xfId="0" applyNumberFormat="1" applyFont="1" applyFill="1" applyBorder="1"/>
    <xf numFmtId="165" fontId="31" fillId="0" borderId="66" xfId="0" applyNumberFormat="1" applyFont="1" applyBorder="1"/>
    <xf numFmtId="167" fontId="14" fillId="0" borderId="0" xfId="0" applyNumberFormat="1" applyFont="1"/>
    <xf numFmtId="42" fontId="14" fillId="5" borderId="25" xfId="0" applyNumberFormat="1" applyFont="1" applyFill="1" applyBorder="1"/>
    <xf numFmtId="166" fontId="14" fillId="5" borderId="23" xfId="0" applyNumberFormat="1" applyFont="1" applyFill="1" applyBorder="1"/>
    <xf numFmtId="166" fontId="31" fillId="0" borderId="66" xfId="0" applyNumberFormat="1" applyFont="1" applyBorder="1"/>
    <xf numFmtId="166" fontId="14" fillId="0" borderId="66" xfId="0" applyNumberFormat="1" applyFont="1" applyBorder="1"/>
    <xf numFmtId="0" fontId="14" fillId="0" borderId="0" xfId="0" quotePrefix="1" applyFont="1" applyAlignment="1">
      <alignment horizontal="left"/>
    </xf>
    <xf numFmtId="41" fontId="14" fillId="0" borderId="0" xfId="0" applyNumberFormat="1" applyFont="1"/>
    <xf numFmtId="0" fontId="14" fillId="5" borderId="23" xfId="0" applyFont="1" applyFill="1" applyBorder="1"/>
    <xf numFmtId="0" fontId="14" fillId="0" borderId="66" xfId="0" applyFont="1" applyBorder="1"/>
    <xf numFmtId="42" fontId="14" fillId="5" borderId="27" xfId="0" applyNumberFormat="1" applyFont="1" applyFill="1" applyBorder="1" applyProtection="1">
      <protection locked="0"/>
    </xf>
    <xf numFmtId="42" fontId="31" fillId="0" borderId="43" xfId="0" applyNumberFormat="1" applyFont="1" applyBorder="1" applyProtection="1">
      <protection locked="0"/>
    </xf>
    <xf numFmtId="42" fontId="14" fillId="0" borderId="43" xfId="0" applyNumberFormat="1" applyFont="1" applyBorder="1" applyProtection="1">
      <protection locked="0"/>
    </xf>
    <xf numFmtId="44" fontId="14" fillId="0" borderId="0" xfId="0" applyNumberFormat="1" applyFont="1"/>
    <xf numFmtId="10" fontId="14" fillId="5" borderId="25" xfId="0" applyNumberFormat="1" applyFont="1" applyFill="1" applyBorder="1" applyProtection="1">
      <protection locked="0"/>
    </xf>
    <xf numFmtId="9" fontId="14" fillId="0" borderId="0" xfId="0" applyNumberFormat="1" applyFont="1" applyProtection="1">
      <protection locked="0"/>
    </xf>
    <xf numFmtId="168" fontId="14" fillId="0" borderId="0" xfId="0" applyNumberFormat="1" applyFont="1" applyAlignment="1">
      <alignment horizontal="left"/>
    </xf>
    <xf numFmtId="167" fontId="14" fillId="5" borderId="25" xfId="0" applyNumberFormat="1" applyFont="1" applyFill="1" applyBorder="1" applyProtection="1">
      <protection locked="0"/>
    </xf>
    <xf numFmtId="169" fontId="14" fillId="5" borderId="25" xfId="0" applyNumberFormat="1" applyFont="1" applyFill="1" applyBorder="1" applyProtection="1">
      <protection locked="0"/>
    </xf>
    <xf numFmtId="42" fontId="14" fillId="5" borderId="29" xfId="0" applyNumberFormat="1" applyFont="1" applyFill="1" applyBorder="1"/>
    <xf numFmtId="42" fontId="14" fillId="0" borderId="53" xfId="0" applyNumberFormat="1" applyFont="1" applyBorder="1"/>
    <xf numFmtId="0" fontId="50" fillId="0" borderId="0" xfId="0" applyFont="1" applyAlignment="1">
      <alignment horizontal="center"/>
    </xf>
    <xf numFmtId="10" fontId="14" fillId="5" borderId="25" xfId="0" applyNumberFormat="1" applyFont="1" applyFill="1" applyBorder="1"/>
    <xf numFmtId="10" fontId="14" fillId="0" borderId="0" xfId="0" applyNumberFormat="1" applyFont="1"/>
    <xf numFmtId="41" fontId="14" fillId="5" borderId="18" xfId="0" applyNumberFormat="1" applyFont="1" applyFill="1" applyBorder="1" applyProtection="1">
      <protection locked="0"/>
    </xf>
    <xf numFmtId="0" fontId="48" fillId="0" borderId="0" xfId="0" applyFont="1"/>
    <xf numFmtId="3" fontId="48" fillId="13" borderId="0" xfId="0" applyNumberFormat="1" applyFont="1" applyFill="1"/>
    <xf numFmtId="0" fontId="48" fillId="13" borderId="0" xfId="0" applyFont="1" applyFill="1"/>
    <xf numFmtId="3" fontId="48" fillId="0" borderId="0" xfId="0" applyNumberFormat="1" applyFont="1"/>
    <xf numFmtId="0" fontId="44" fillId="6" borderId="0" xfId="0" applyFont="1" applyFill="1"/>
    <xf numFmtId="0" fontId="49" fillId="6" borderId="0" xfId="0" applyFont="1" applyFill="1" applyAlignment="1">
      <alignment horizontal="left"/>
    </xf>
    <xf numFmtId="0" fontId="33" fillId="6" borderId="0" xfId="0" applyFont="1" applyFill="1" applyAlignment="1">
      <alignment horizontal="left"/>
    </xf>
    <xf numFmtId="17" fontId="4" fillId="6" borderId="0" xfId="0" applyNumberFormat="1" applyFont="1" applyFill="1" applyAlignment="1">
      <alignment horizontal="center"/>
    </xf>
    <xf numFmtId="0" fontId="44" fillId="6" borderId="0" xfId="0" applyFont="1" applyFill="1" applyAlignment="1">
      <alignment horizontal="left"/>
    </xf>
    <xf numFmtId="3" fontId="51" fillId="6" borderId="0" xfId="0" applyNumberFormat="1" applyFont="1" applyFill="1"/>
    <xf numFmtId="17" fontId="50" fillId="0" borderId="0" xfId="0" applyNumberFormat="1" applyFont="1" applyAlignment="1">
      <alignment horizontal="left"/>
    </xf>
    <xf numFmtId="42" fontId="52" fillId="0" borderId="0" xfId="0" applyNumberFormat="1" applyFont="1"/>
    <xf numFmtId="41" fontId="52" fillId="0" borderId="0" xfId="0" applyNumberFormat="1" applyFont="1" applyProtection="1">
      <protection locked="0"/>
    </xf>
    <xf numFmtId="41" fontId="14" fillId="3" borderId="25" xfId="0" applyNumberFormat="1" applyFont="1" applyFill="1" applyBorder="1" applyProtection="1">
      <protection locked="0"/>
    </xf>
    <xf numFmtId="3" fontId="48" fillId="9" borderId="0" xfId="0" applyNumberFormat="1" applyFont="1" applyFill="1"/>
    <xf numFmtId="0" fontId="49" fillId="6" borderId="0" xfId="0" applyFont="1" applyFill="1" applyAlignment="1">
      <alignment horizontal="center"/>
    </xf>
    <xf numFmtId="0" fontId="33" fillId="6" borderId="0" xfId="0" applyFont="1" applyFill="1" applyAlignment="1">
      <alignment horizontal="center"/>
    </xf>
    <xf numFmtId="0" fontId="50" fillId="0" borderId="0" xfId="0" applyFont="1" applyAlignment="1">
      <alignment horizontal="left"/>
    </xf>
    <xf numFmtId="41" fontId="49" fillId="5" borderId="25" xfId="0" applyNumberFormat="1" applyFont="1" applyFill="1" applyBorder="1" applyProtection="1">
      <protection locked="0"/>
    </xf>
    <xf numFmtId="165" fontId="31" fillId="0" borderId="0" xfId="1" applyNumberFormat="1" applyFont="1" applyFill="1"/>
    <xf numFmtId="42" fontId="31" fillId="0" borderId="53" xfId="0" applyNumberFormat="1" applyFont="1" applyBorder="1"/>
    <xf numFmtId="10" fontId="31" fillId="0" borderId="0" xfId="0" applyNumberFormat="1" applyFont="1"/>
    <xf numFmtId="41" fontId="14" fillId="3" borderId="63" xfId="0" applyNumberFormat="1" applyFont="1" applyFill="1" applyBorder="1" applyProtection="1">
      <protection locked="0"/>
    </xf>
    <xf numFmtId="165" fontId="52" fillId="0" borderId="66" xfId="0" applyNumberFormat="1" applyFont="1" applyBorder="1"/>
    <xf numFmtId="166" fontId="52" fillId="0" borderId="66" xfId="0" applyNumberFormat="1" applyFont="1" applyBorder="1"/>
    <xf numFmtId="42" fontId="52" fillId="0" borderId="43" xfId="0" applyNumberFormat="1" applyFont="1" applyBorder="1" applyProtection="1">
      <protection locked="0"/>
    </xf>
    <xf numFmtId="165" fontId="52" fillId="0" borderId="0" xfId="0" applyNumberFormat="1" applyFont="1"/>
    <xf numFmtId="0" fontId="47" fillId="14" borderId="0" xfId="0" applyFont="1" applyFill="1" applyAlignment="1">
      <alignment horizontal="left"/>
    </xf>
    <xf numFmtId="0" fontId="14" fillId="14" borderId="0" xfId="0" applyFont="1" applyFill="1"/>
    <xf numFmtId="0" fontId="31" fillId="0" borderId="20" xfId="0" applyFont="1" applyBorder="1" applyAlignment="1">
      <alignment horizontal="left"/>
    </xf>
    <xf numFmtId="0" fontId="14" fillId="0" borderId="60" xfId="0" applyFont="1" applyBorder="1"/>
    <xf numFmtId="5" fontId="14" fillId="0" borderId="20" xfId="0" applyNumberFormat="1" applyFont="1" applyBorder="1"/>
    <xf numFmtId="5" fontId="14" fillId="0" borderId="66" xfId="0" applyNumberFormat="1" applyFont="1" applyBorder="1"/>
    <xf numFmtId="5" fontId="14" fillId="0" borderId="60" xfId="0" applyNumberFormat="1" applyFont="1" applyBorder="1"/>
    <xf numFmtId="0" fontId="31" fillId="0" borderId="21" xfId="0" applyFont="1" applyBorder="1"/>
    <xf numFmtId="0" fontId="14" fillId="0" borderId="4" xfId="0" applyFont="1" applyBorder="1"/>
    <xf numFmtId="5" fontId="14" fillId="0" borderId="21" xfId="0" applyNumberFormat="1" applyFont="1" applyBorder="1"/>
    <xf numFmtId="5" fontId="14" fillId="0" borderId="0" xfId="0" applyNumberFormat="1" applyFont="1"/>
    <xf numFmtId="5" fontId="14" fillId="0" borderId="4" xfId="0" applyNumberFormat="1" applyFont="1" applyBorder="1"/>
    <xf numFmtId="0" fontId="31" fillId="0" borderId="22" xfId="0" applyFont="1" applyBorder="1"/>
    <xf numFmtId="0" fontId="14" fillId="0" borderId="5" xfId="0" applyFont="1" applyBorder="1"/>
    <xf numFmtId="0" fontId="31" fillId="15" borderId="20" xfId="0" applyFont="1" applyFill="1" applyBorder="1" applyAlignment="1">
      <alignment horizontal="left"/>
    </xf>
    <xf numFmtId="0" fontId="14" fillId="15" borderId="66" xfId="0" applyFont="1" applyFill="1" applyBorder="1"/>
    <xf numFmtId="5" fontId="14" fillId="15" borderId="66" xfId="0" applyNumberFormat="1" applyFont="1" applyFill="1" applyBorder="1"/>
    <xf numFmtId="0" fontId="31" fillId="15" borderId="21" xfId="0" applyFont="1" applyFill="1" applyBorder="1"/>
    <xf numFmtId="5" fontId="14" fillId="15" borderId="0" xfId="0" applyNumberFormat="1" applyFont="1" applyFill="1"/>
    <xf numFmtId="0" fontId="31" fillId="15" borderId="22" xfId="0" applyFont="1" applyFill="1" applyBorder="1"/>
    <xf numFmtId="0" fontId="53" fillId="9" borderId="58" xfId="0" applyFont="1" applyFill="1" applyBorder="1" applyAlignment="1">
      <alignment horizontal="center"/>
    </xf>
    <xf numFmtId="3" fontId="29" fillId="0" borderId="65" xfId="0" applyNumberFormat="1" applyFont="1" applyBorder="1" applyAlignment="1">
      <alignment horizontal="right"/>
    </xf>
    <xf numFmtId="3" fontId="29" fillId="12" borderId="65" xfId="0" applyNumberFormat="1" applyFont="1" applyFill="1" applyBorder="1" applyAlignment="1">
      <alignment horizontal="right"/>
    </xf>
    <xf numFmtId="0" fontId="48" fillId="12" borderId="65" xfId="0" applyFont="1" applyFill="1" applyBorder="1"/>
    <xf numFmtId="0" fontId="48" fillId="13" borderId="65" xfId="0" applyFont="1" applyFill="1" applyBorder="1"/>
    <xf numFmtId="3" fontId="29" fillId="16" borderId="65" xfId="0" applyNumberFormat="1" applyFont="1" applyFill="1" applyBorder="1" applyAlignment="1">
      <alignment horizontal="right"/>
    </xf>
    <xf numFmtId="165" fontId="2" fillId="0" borderId="0" xfId="1" applyNumberFormat="1" applyFont="1" applyFill="1"/>
    <xf numFmtId="166" fontId="31" fillId="9" borderId="53" xfId="0" applyNumberFormat="1" applyFont="1" applyFill="1" applyBorder="1"/>
    <xf numFmtId="0" fontId="14" fillId="9" borderId="0" xfId="0" applyFont="1" applyFill="1"/>
    <xf numFmtId="165" fontId="31" fillId="9" borderId="31" xfId="0" applyNumberFormat="1" applyFont="1" applyFill="1" applyBorder="1"/>
    <xf numFmtId="165" fontId="31" fillId="9" borderId="0" xfId="0" applyNumberFormat="1" applyFont="1" applyFill="1"/>
    <xf numFmtId="166" fontId="31" fillId="9" borderId="0" xfId="0" applyNumberFormat="1" applyFont="1" applyFill="1"/>
    <xf numFmtId="0" fontId="31" fillId="9" borderId="0" xfId="0" applyFont="1" applyFill="1"/>
    <xf numFmtId="166" fontId="31" fillId="9" borderId="43" xfId="0" applyNumberFormat="1" applyFont="1" applyFill="1" applyBorder="1"/>
    <xf numFmtId="0" fontId="31" fillId="9" borderId="66" xfId="0" applyFont="1" applyFill="1" applyBorder="1"/>
    <xf numFmtId="43" fontId="31" fillId="9" borderId="0" xfId="0" applyNumberFormat="1" applyFont="1" applyFill="1"/>
    <xf numFmtId="165" fontId="14" fillId="9" borderId="31" xfId="0" applyNumberFormat="1" applyFont="1" applyFill="1" applyBorder="1"/>
    <xf numFmtId="165" fontId="14" fillId="9" borderId="0" xfId="0" applyNumberFormat="1" applyFont="1" applyFill="1"/>
    <xf numFmtId="166" fontId="14" fillId="9" borderId="0" xfId="0" applyNumberFormat="1" applyFont="1" applyFill="1"/>
    <xf numFmtId="0" fontId="2" fillId="9" borderId="63" xfId="0" applyFont="1" applyFill="1" applyBorder="1" applyAlignment="1">
      <alignment horizontal="center"/>
    </xf>
    <xf numFmtId="0" fontId="3" fillId="9" borderId="5" xfId="0" applyFont="1" applyFill="1" applyBorder="1" applyAlignment="1">
      <alignment horizontal="center"/>
    </xf>
    <xf numFmtId="0" fontId="3" fillId="9" borderId="16" xfId="0" applyFont="1" applyFill="1" applyBorder="1" applyAlignment="1">
      <alignment horizontal="center"/>
    </xf>
    <xf numFmtId="0" fontId="3" fillId="9" borderId="4" xfId="0" applyFont="1" applyFill="1" applyBorder="1" applyAlignment="1">
      <alignment horizontal="center"/>
    </xf>
    <xf numFmtId="0" fontId="3" fillId="9" borderId="15" xfId="0" applyFont="1" applyFill="1" applyBorder="1" applyAlignment="1">
      <alignment horizontal="center"/>
    </xf>
    <xf numFmtId="0" fontId="3" fillId="9" borderId="60" xfId="0" applyFont="1" applyFill="1" applyBorder="1" applyAlignment="1">
      <alignment horizontal="center"/>
    </xf>
    <xf numFmtId="0" fontId="3" fillId="9" borderId="59" xfId="0" applyFont="1" applyFill="1" applyBorder="1" applyAlignment="1">
      <alignment horizontal="center"/>
    </xf>
    <xf numFmtId="0" fontId="20" fillId="9" borderId="0" xfId="0" applyFont="1" applyFill="1" applyAlignment="1">
      <alignment horizontal="center"/>
    </xf>
    <xf numFmtId="0" fontId="0" fillId="9" borderId="0" xfId="0" applyFill="1"/>
    <xf numFmtId="166" fontId="52" fillId="0" borderId="53" xfId="0" applyNumberFormat="1" applyFont="1" applyBorder="1"/>
    <xf numFmtId="165" fontId="52" fillId="0" borderId="31" xfId="0" applyNumberFormat="1" applyFont="1" applyBorder="1"/>
    <xf numFmtId="166" fontId="52" fillId="0" borderId="0" xfId="0" applyNumberFormat="1" applyFont="1"/>
    <xf numFmtId="0" fontId="50" fillId="0" borderId="0" xfId="0" applyFont="1"/>
    <xf numFmtId="166" fontId="52" fillId="0" borderId="43" xfId="0" applyNumberFormat="1" applyFont="1" applyBorder="1"/>
    <xf numFmtId="0" fontId="52" fillId="0" borderId="66" xfId="0" applyFont="1" applyBorder="1"/>
    <xf numFmtId="43" fontId="52" fillId="0" borderId="0" xfId="0" applyNumberFormat="1" applyFont="1"/>
    <xf numFmtId="0" fontId="52" fillId="0" borderId="0" xfId="0" applyFont="1"/>
    <xf numFmtId="165" fontId="50" fillId="0" borderId="0" xfId="0" applyNumberFormat="1" applyFont="1"/>
    <xf numFmtId="42" fontId="6" fillId="0" borderId="53" xfId="0" applyNumberFormat="1" applyFont="1" applyBorder="1"/>
    <xf numFmtId="0" fontId="6" fillId="0" borderId="0" xfId="0" quotePrefix="1" applyFont="1" applyAlignment="1">
      <alignment horizontal="left"/>
    </xf>
    <xf numFmtId="0" fontId="38" fillId="0" borderId="0" xfId="0" applyFont="1"/>
    <xf numFmtId="0" fontId="5" fillId="0" borderId="0" xfId="0" applyFont="1"/>
    <xf numFmtId="4" fontId="2" fillId="0" borderId="0" xfId="0" applyNumberFormat="1" applyFont="1"/>
    <xf numFmtId="183" fontId="2" fillId="0" borderId="0" xfId="0" applyNumberFormat="1" applyFont="1" applyProtection="1">
      <protection locked="0"/>
    </xf>
    <xf numFmtId="165" fontId="2" fillId="0" borderId="0" xfId="1" applyNumberFormat="1" applyFont="1" applyFill="1" applyBorder="1" applyAlignment="1"/>
    <xf numFmtId="184" fontId="2" fillId="0" borderId="0" xfId="0" applyNumberFormat="1" applyFont="1" applyProtection="1">
      <protection locked="0"/>
    </xf>
    <xf numFmtId="41" fontId="2" fillId="0" borderId="65" xfId="0" applyNumberFormat="1" applyFont="1" applyBorder="1" applyAlignment="1">
      <alignment horizontal="right"/>
    </xf>
    <xf numFmtId="43" fontId="50" fillId="0" borderId="0" xfId="0" applyNumberFormat="1" applyFont="1"/>
    <xf numFmtId="165" fontId="0" fillId="0" borderId="0" xfId="1" applyNumberFormat="1" applyFont="1"/>
    <xf numFmtId="0" fontId="57" fillId="0" borderId="0" xfId="0" applyFont="1" applyAlignment="1">
      <alignment horizontal="left"/>
    </xf>
    <xf numFmtId="175" fontId="13" fillId="0" borderId="0" xfId="0" applyNumberFormat="1" applyFont="1" applyProtection="1">
      <protection locked="0"/>
    </xf>
    <xf numFmtId="42" fontId="3" fillId="0" borderId="43" xfId="0" applyNumberFormat="1" applyFont="1" applyBorder="1"/>
    <xf numFmtId="165" fontId="3" fillId="0" borderId="43" xfId="1" applyNumberFormat="1" applyFont="1" applyFill="1" applyBorder="1" applyAlignment="1"/>
    <xf numFmtId="185" fontId="2" fillId="0" borderId="0" xfId="0" applyNumberFormat="1" applyFont="1" applyAlignment="1">
      <alignment horizontal="right" wrapText="1"/>
    </xf>
    <xf numFmtId="171" fontId="2" fillId="0" borderId="31" xfId="0" quotePrefix="1" applyNumberFormat="1" applyFont="1" applyBorder="1" applyAlignment="1">
      <alignment horizontal="left"/>
    </xf>
    <xf numFmtId="0" fontId="43" fillId="0" borderId="0" xfId="0" applyFont="1"/>
    <xf numFmtId="165" fontId="2" fillId="0" borderId="66" xfId="1" applyNumberFormat="1" applyFont="1" applyFill="1" applyBorder="1" applyAlignment="1"/>
    <xf numFmtId="42" fontId="2" fillId="0" borderId="53" xfId="0" applyNumberFormat="1" applyFont="1" applyBorder="1" applyProtection="1">
      <protection locked="0"/>
    </xf>
    <xf numFmtId="165" fontId="15" fillId="0" borderId="0" xfId="1" applyNumberFormat="1" applyFont="1" applyFill="1" applyBorder="1" applyAlignment="1"/>
    <xf numFmtId="42" fontId="5" fillId="0" borderId="53" xfId="0" applyNumberFormat="1" applyFont="1" applyBorder="1"/>
    <xf numFmtId="0" fontId="6" fillId="0" borderId="0" xfId="0" applyFont="1" applyAlignment="1">
      <alignment horizontal="left" vertical="center"/>
    </xf>
    <xf numFmtId="165" fontId="15" fillId="0" borderId="66" xfId="1" applyNumberFormat="1" applyFont="1" applyFill="1" applyBorder="1" applyAlignment="1"/>
    <xf numFmtId="41" fontId="2" fillId="0" borderId="66" xfId="0" applyNumberFormat="1" applyFont="1" applyBorder="1" applyAlignment="1">
      <alignment horizontal="right"/>
    </xf>
    <xf numFmtId="41" fontId="36" fillId="0" borderId="0" xfId="0" applyNumberFormat="1" applyFont="1" applyAlignment="1">
      <alignment horizontal="right"/>
    </xf>
    <xf numFmtId="0" fontId="6" fillId="0" borderId="31" xfId="0" applyFont="1" applyBorder="1" applyAlignment="1">
      <alignment horizontal="left" indent="1"/>
    </xf>
    <xf numFmtId="41" fontId="3" fillId="0" borderId="0" xfId="0" applyNumberFormat="1" applyFont="1" applyAlignment="1">
      <alignment horizontal="right"/>
    </xf>
    <xf numFmtId="165" fontId="3" fillId="0" borderId="53" xfId="0" applyNumberFormat="1" applyFont="1" applyBorder="1"/>
    <xf numFmtId="165" fontId="4" fillId="0" borderId="53" xfId="0" applyNumberFormat="1" applyFont="1" applyBorder="1"/>
    <xf numFmtId="165" fontId="58" fillId="0" borderId="53" xfId="0" applyNumberFormat="1" applyFont="1" applyBorder="1"/>
    <xf numFmtId="165" fontId="14" fillId="0" borderId="53" xfId="0" applyNumberFormat="1" applyFont="1" applyBorder="1"/>
    <xf numFmtId="0" fontId="59" fillId="0" borderId="0" xfId="0" applyFont="1"/>
    <xf numFmtId="42" fontId="2" fillId="0" borderId="53" xfId="0" applyNumberFormat="1" applyFont="1" applyBorder="1" applyAlignment="1">
      <alignment horizontal="right"/>
    </xf>
    <xf numFmtId="165" fontId="15" fillId="0" borderId="0" xfId="1" applyNumberFormat="1" applyFont="1" applyFill="1" applyBorder="1"/>
    <xf numFmtId="0" fontId="15" fillId="0" borderId="0" xfId="0" applyFont="1" applyAlignment="1">
      <alignment horizontal="left"/>
    </xf>
    <xf numFmtId="42" fontId="2" fillId="0" borderId="53" xfId="0" applyNumberFormat="1" applyFont="1" applyBorder="1" applyAlignment="1" applyProtection="1">
      <alignment horizontal="right"/>
      <protection locked="0"/>
    </xf>
    <xf numFmtId="41" fontId="54" fillId="0" borderId="0" xfId="0" applyNumberFormat="1" applyFont="1"/>
    <xf numFmtId="166" fontId="60" fillId="0" borderId="53" xfId="0" applyNumberFormat="1" applyFont="1" applyBorder="1"/>
    <xf numFmtId="165" fontId="2" fillId="0" borderId="43" xfId="0" applyNumberFormat="1" applyFont="1" applyBorder="1"/>
    <xf numFmtId="41" fontId="2" fillId="17" borderId="0" xfId="0" applyNumberFormat="1" applyFont="1" applyFill="1" applyAlignment="1">
      <alignment horizontal="right"/>
    </xf>
    <xf numFmtId="42" fontId="3" fillId="0" borderId="53" xfId="0" applyNumberFormat="1" applyFont="1" applyBorder="1"/>
    <xf numFmtId="41" fontId="54" fillId="0" borderId="31" xfId="0" applyNumberFormat="1" applyFont="1" applyBorder="1"/>
    <xf numFmtId="41" fontId="4" fillId="0" borderId="66" xfId="0" applyNumberFormat="1" applyFont="1" applyBorder="1"/>
    <xf numFmtId="165" fontId="4" fillId="0" borderId="66" xfId="0" applyNumberFormat="1" applyFont="1" applyBorder="1"/>
    <xf numFmtId="37" fontId="2" fillId="0" borderId="66" xfId="0" applyNumberFormat="1" applyFont="1" applyBorder="1" applyAlignment="1">
      <alignment horizontal="right"/>
    </xf>
    <xf numFmtId="42" fontId="2" fillId="0" borderId="31" xfId="0" applyNumberFormat="1" applyFont="1" applyBorder="1"/>
    <xf numFmtId="42" fontId="54" fillId="0" borderId="0" xfId="0" applyNumberFormat="1" applyFont="1"/>
    <xf numFmtId="166" fontId="3" fillId="0" borderId="53" xfId="0" applyNumberFormat="1" applyFont="1" applyBorder="1"/>
    <xf numFmtId="10" fontId="14" fillId="0" borderId="0" xfId="0" applyNumberFormat="1" applyFont="1" applyAlignment="1">
      <alignment horizontal="center"/>
    </xf>
    <xf numFmtId="37" fontId="6" fillId="0" borderId="0" xfId="0" applyNumberFormat="1" applyFont="1" applyAlignment="1">
      <alignment horizontal="left"/>
    </xf>
    <xf numFmtId="0" fontId="15" fillId="0" borderId="0" xfId="0" applyFont="1" applyProtection="1">
      <protection locked="0"/>
    </xf>
    <xf numFmtId="41" fontId="37" fillId="0" borderId="0" xfId="0" applyNumberFormat="1" applyFont="1"/>
    <xf numFmtId="0" fontId="37" fillId="0" borderId="0" xfId="0" applyFont="1"/>
    <xf numFmtId="37" fontId="6" fillId="0" borderId="0" xfId="0" applyNumberFormat="1" applyFont="1" applyAlignment="1">
      <alignment horizontal="right"/>
    </xf>
    <xf numFmtId="41" fontId="2" fillId="0" borderId="66" xfId="0" applyNumberFormat="1" applyFont="1" applyBorder="1" applyAlignment="1">
      <alignment horizontal="center"/>
    </xf>
    <xf numFmtId="166" fontId="14" fillId="0" borderId="31" xfId="0" applyNumberFormat="1" applyFont="1" applyBorder="1"/>
    <xf numFmtId="176" fontId="2" fillId="0" borderId="66" xfId="0" quotePrefix="1" applyNumberFormat="1" applyFont="1" applyBorder="1" applyAlignment="1">
      <alignment horizontal="left"/>
    </xf>
    <xf numFmtId="165" fontId="2" fillId="0" borderId="0" xfId="1" applyNumberFormat="1" applyFont="1" applyFill="1" applyBorder="1"/>
    <xf numFmtId="0" fontId="56" fillId="0" borderId="0" xfId="0" applyFont="1" applyAlignment="1">
      <alignment vertical="center"/>
    </xf>
    <xf numFmtId="42" fontId="2" fillId="0" borderId="66" xfId="0" applyNumberFormat="1" applyFont="1" applyBorder="1" applyProtection="1">
      <protection locked="0"/>
    </xf>
    <xf numFmtId="0" fontId="2" fillId="0" borderId="66" xfId="0" applyFont="1" applyBorder="1" applyAlignment="1">
      <alignment horizontal="left"/>
    </xf>
    <xf numFmtId="41" fontId="2" fillId="0" borderId="31" xfId="0" applyNumberFormat="1" applyFont="1" applyBorder="1" applyProtection="1">
      <protection locked="0"/>
    </xf>
    <xf numFmtId="5" fontId="2" fillId="0" borderId="0" xfId="0" applyNumberFormat="1" applyFont="1" applyAlignment="1" applyProtection="1">
      <alignment horizontal="right"/>
      <protection locked="0"/>
    </xf>
    <xf numFmtId="41" fontId="2" fillId="0" borderId="66" xfId="0" applyNumberFormat="1" applyFont="1" applyBorder="1" applyProtection="1">
      <protection locked="0"/>
    </xf>
    <xf numFmtId="10" fontId="6" fillId="0" borderId="0" xfId="0" applyNumberFormat="1" applyFont="1" applyAlignment="1">
      <alignment horizontal="left"/>
    </xf>
    <xf numFmtId="171" fontId="13" fillId="0" borderId="0" xfId="0" applyNumberFormat="1" applyFont="1" applyAlignment="1" applyProtection="1">
      <alignment horizontal="left"/>
      <protection locked="0"/>
    </xf>
    <xf numFmtId="165" fontId="2" fillId="0" borderId="0" xfId="1" applyNumberFormat="1" applyFont="1" applyFill="1" applyAlignment="1" applyProtection="1">
      <protection locked="0"/>
    </xf>
    <xf numFmtId="0" fontId="23" fillId="0" borderId="0" xfId="0" applyFont="1" applyAlignment="1">
      <alignment horizontal="center" vertical="center"/>
    </xf>
    <xf numFmtId="0" fontId="26" fillId="0" borderId="0" xfId="0" applyFont="1"/>
    <xf numFmtId="42" fontId="3" fillId="0" borderId="0" xfId="0" applyNumberFormat="1" applyFont="1" applyAlignment="1">
      <alignment horizontal="right"/>
    </xf>
    <xf numFmtId="9" fontId="2" fillId="0" borderId="0" xfId="0" applyNumberFormat="1" applyFont="1" applyAlignment="1" applyProtection="1">
      <alignment horizontal="left"/>
      <protection locked="0"/>
    </xf>
    <xf numFmtId="0" fontId="17" fillId="0" borderId="67" xfId="0" applyFont="1" applyBorder="1" applyAlignment="1">
      <alignment horizontal="centerContinuous"/>
    </xf>
    <xf numFmtId="0" fontId="32" fillId="0" borderId="68" xfId="0" applyFont="1" applyBorder="1" applyAlignment="1">
      <alignment horizontal="centerContinuous"/>
    </xf>
    <xf numFmtId="0" fontId="32" fillId="0" borderId="67" xfId="0" applyFont="1" applyBorder="1" applyAlignment="1">
      <alignment horizontal="centerContinuous"/>
    </xf>
    <xf numFmtId="0" fontId="32" fillId="0" borderId="69" xfId="0" applyFont="1" applyBorder="1" applyAlignment="1">
      <alignment horizontal="centerContinuous"/>
    </xf>
    <xf numFmtId="0" fontId="3" fillId="2" borderId="60" xfId="0" applyFont="1" applyFill="1" applyBorder="1" applyAlignment="1">
      <alignment horizontal="center"/>
    </xf>
    <xf numFmtId="0" fontId="3" fillId="2" borderId="59" xfId="0" applyFont="1" applyFill="1" applyBorder="1" applyAlignment="1">
      <alignment horizontal="center"/>
    </xf>
    <xf numFmtId="0" fontId="3" fillId="2" borderId="60" xfId="0" quotePrefix="1" applyFont="1" applyFill="1" applyBorder="1" applyAlignment="1">
      <alignment horizontal="center"/>
    </xf>
    <xf numFmtId="0" fontId="3" fillId="0" borderId="0" xfId="0" applyFont="1" applyAlignment="1">
      <alignment vertical="top"/>
    </xf>
    <xf numFmtId="0" fontId="0" fillId="0" borderId="0" xfId="0" applyAlignment="1">
      <alignment vertical="top"/>
    </xf>
    <xf numFmtId="0" fontId="4" fillId="0" borderId="0" xfId="0" applyFont="1" applyAlignment="1">
      <alignment horizontal="centerContinuous" vertical="top"/>
    </xf>
    <xf numFmtId="0" fontId="0" fillId="0" borderId="0" xfId="0" applyAlignment="1">
      <alignment horizontal="centerContinuous" vertical="top"/>
    </xf>
    <xf numFmtId="0" fontId="3" fillId="0" borderId="0" xfId="0" applyFont="1" applyAlignment="1">
      <alignment horizontal="centerContinuous" vertical="top"/>
    </xf>
    <xf numFmtId="165" fontId="3" fillId="0" borderId="0" xfId="1" applyNumberFormat="1" applyFont="1" applyFill="1" applyAlignment="1">
      <alignment horizontal="centerContinuous" vertical="top"/>
    </xf>
    <xf numFmtId="165" fontId="3" fillId="0" borderId="0" xfId="1" applyNumberFormat="1" applyFont="1" applyFill="1" applyAlignment="1">
      <alignment horizontal="centerContinuous"/>
    </xf>
    <xf numFmtId="0" fontId="17" fillId="0" borderId="0" xfId="0" applyFont="1"/>
    <xf numFmtId="0" fontId="33" fillId="0" borderId="0" xfId="0" applyFont="1" applyAlignment="1">
      <alignment horizontal="center"/>
    </xf>
    <xf numFmtId="165" fontId="16" fillId="0" borderId="0" xfId="1" applyNumberFormat="1" applyFont="1" applyFill="1" applyAlignment="1" applyProtection="1">
      <alignment horizontal="centerContinuous"/>
      <protection locked="0"/>
    </xf>
    <xf numFmtId="174" fontId="4" fillId="0" borderId="0" xfId="0" applyNumberFormat="1" applyFont="1" applyAlignment="1">
      <alignment horizontal="right"/>
    </xf>
    <xf numFmtId="0" fontId="4" fillId="0" borderId="0" xfId="0" applyFont="1" applyAlignment="1">
      <alignment horizontal="right"/>
    </xf>
    <xf numFmtId="165" fontId="0" fillId="0" borderId="0" xfId="1" applyNumberFormat="1" applyFont="1" applyFill="1"/>
    <xf numFmtId="0" fontId="5" fillId="0" borderId="0" xfId="0" applyFont="1" applyAlignment="1">
      <alignment horizontal="right"/>
    </xf>
    <xf numFmtId="41" fontId="62" fillId="0" borderId="0" xfId="0" applyNumberFormat="1" applyFont="1"/>
    <xf numFmtId="41" fontId="61" fillId="0" borderId="0" xfId="0" applyNumberFormat="1" applyFont="1"/>
    <xf numFmtId="41" fontId="63" fillId="0" borderId="0" xfId="0" applyNumberFormat="1" applyFont="1"/>
    <xf numFmtId="165" fontId="6" fillId="0" borderId="53" xfId="0" applyNumberFormat="1" applyFont="1" applyBorder="1"/>
    <xf numFmtId="37" fontId="64" fillId="0" borderId="0" xfId="0" applyNumberFormat="1" applyFont="1"/>
    <xf numFmtId="0" fontId="34" fillId="0" borderId="0" xfId="0" applyFont="1" applyAlignment="1">
      <alignment horizontal="right" indent="2"/>
    </xf>
    <xf numFmtId="165" fontId="62" fillId="0" borderId="43" xfId="0" applyNumberFormat="1" applyFont="1" applyBorder="1"/>
    <xf numFmtId="41" fontId="62" fillId="0" borderId="66" xfId="0" applyNumberFormat="1" applyFont="1" applyBorder="1"/>
    <xf numFmtId="165" fontId="6" fillId="0" borderId="53" xfId="0" applyNumberFormat="1" applyFont="1" applyBorder="1" applyAlignment="1">
      <alignment horizontal="left" wrapText="1"/>
    </xf>
    <xf numFmtId="42" fontId="62" fillId="0" borderId="0" xfId="0" applyNumberFormat="1" applyFont="1"/>
    <xf numFmtId="0" fontId="2" fillId="0" borderId="0" xfId="0" applyFont="1" applyAlignment="1">
      <alignment horizontal="left" wrapText="1"/>
    </xf>
    <xf numFmtId="43" fontId="65" fillId="0" borderId="0" xfId="0" applyNumberFormat="1" applyFont="1" applyAlignment="1">
      <alignment horizontal="centerContinuous"/>
    </xf>
    <xf numFmtId="165" fontId="18" fillId="0" borderId="0" xfId="0" applyNumberFormat="1" applyFont="1" applyAlignment="1">
      <alignment horizontal="centerContinuous"/>
    </xf>
    <xf numFmtId="43" fontId="65" fillId="0" borderId="0" xfId="0" applyNumberFormat="1" applyFont="1" applyAlignment="1">
      <alignment horizontal="center"/>
    </xf>
    <xf numFmtId="0" fontId="6" fillId="0" borderId="65" xfId="0" applyFont="1" applyBorder="1" applyAlignment="1">
      <alignment horizontal="left"/>
    </xf>
    <xf numFmtId="179" fontId="2" fillId="0" borderId="0" xfId="0" applyNumberFormat="1" applyFont="1" applyAlignment="1">
      <alignment horizontal="left"/>
    </xf>
    <xf numFmtId="41" fontId="2" fillId="0" borderId="0" xfId="0" applyNumberFormat="1" applyFont="1" applyAlignment="1" applyProtection="1">
      <alignment horizontal="left"/>
      <protection locked="0"/>
    </xf>
    <xf numFmtId="0" fontId="14" fillId="0" borderId="0" xfId="0" applyFont="1" applyAlignment="1">
      <alignment horizontal="left" wrapText="1"/>
    </xf>
    <xf numFmtId="0" fontId="6" fillId="0" borderId="0" xfId="0" applyFont="1" applyAlignment="1">
      <alignment horizontal="left" wrapText="1"/>
    </xf>
    <xf numFmtId="0" fontId="18" fillId="0" borderId="0" xfId="0" applyFont="1" applyAlignment="1">
      <alignment horizontal="center"/>
    </xf>
    <xf numFmtId="0" fontId="5" fillId="0" borderId="31" xfId="0" quotePrefix="1" applyFont="1" applyBorder="1" applyAlignment="1" applyProtection="1">
      <alignment horizontal="center"/>
      <protection locked="0"/>
    </xf>
    <xf numFmtId="0" fontId="5" fillId="0" borderId="31" xfId="0" applyFont="1" applyBorder="1" applyAlignment="1">
      <alignment horizontal="left" wrapText="1"/>
    </xf>
    <xf numFmtId="0" fontId="5" fillId="0" borderId="31" xfId="0" applyFont="1" applyBorder="1" applyAlignment="1">
      <alignment horizontal="center"/>
    </xf>
    <xf numFmtId="0" fontId="5" fillId="0" borderId="0" xfId="0" applyFont="1" applyAlignment="1">
      <alignment horizontal="left" wrapText="1"/>
    </xf>
    <xf numFmtId="0" fontId="5" fillId="0" borderId="0" xfId="0" applyFont="1" applyAlignment="1" applyProtection="1">
      <alignment horizontal="center"/>
      <protection locked="0"/>
    </xf>
    <xf numFmtId="0" fontId="5" fillId="0" borderId="0" xfId="0" applyFont="1" applyProtection="1">
      <protection locked="0"/>
    </xf>
    <xf numFmtId="171" fontId="5" fillId="0" borderId="0" xfId="0" applyNumberFormat="1" applyFont="1" applyAlignment="1" applyProtection="1">
      <alignment horizontal="centerContinuous"/>
      <protection locked="0"/>
    </xf>
    <xf numFmtId="0" fontId="5" fillId="0" borderId="0" xfId="0" applyFont="1" applyAlignment="1">
      <alignment horizontal="centerContinuous"/>
    </xf>
    <xf numFmtId="0" fontId="5" fillId="0" borderId="0" xfId="0" applyFont="1" applyAlignment="1" applyProtection="1">
      <alignment horizontal="centerContinuous" vertical="center"/>
      <protection locked="0"/>
    </xf>
    <xf numFmtId="0" fontId="5" fillId="0" borderId="0" xfId="0" applyFont="1" applyAlignment="1" applyProtection="1">
      <alignment horizontal="left" vertical="center"/>
      <protection locked="0"/>
    </xf>
    <xf numFmtId="0" fontId="22" fillId="0" borderId="0" xfId="0" applyFont="1" applyAlignment="1">
      <alignment vertical="top"/>
    </xf>
    <xf numFmtId="5" fontId="31" fillId="0" borderId="0" xfId="0" applyNumberFormat="1" applyFont="1"/>
    <xf numFmtId="41" fontId="31" fillId="0" borderId="66" xfId="0" applyNumberFormat="1" applyFont="1" applyBorder="1"/>
    <xf numFmtId="165" fontId="31" fillId="0" borderId="65" xfId="0" applyNumberFormat="1" applyFont="1" applyBorder="1"/>
    <xf numFmtId="165" fontId="38" fillId="0" borderId="66" xfId="1" applyNumberFormat="1" applyFont="1" applyBorder="1" applyAlignment="1">
      <alignment vertical="center"/>
    </xf>
    <xf numFmtId="0" fontId="2" fillId="0" borderId="60" xfId="0" applyFont="1" applyBorder="1"/>
    <xf numFmtId="9" fontId="2" fillId="0" borderId="66" xfId="0" applyNumberFormat="1" applyFont="1" applyBorder="1"/>
    <xf numFmtId="9" fontId="2" fillId="0" borderId="65" xfId="0" applyNumberFormat="1" applyFont="1" applyBorder="1"/>
    <xf numFmtId="0" fontId="2" fillId="0" borderId="65" xfId="0" applyFont="1" applyBorder="1"/>
    <xf numFmtId="181" fontId="2" fillId="0" borderId="66" xfId="0" applyNumberFormat="1" applyFont="1" applyBorder="1"/>
    <xf numFmtId="10" fontId="2" fillId="0" borderId="66" xfId="0" applyNumberFormat="1" applyFont="1" applyBorder="1"/>
    <xf numFmtId="41" fontId="2" fillId="5" borderId="0" xfId="0" applyNumberFormat="1" applyFont="1" applyFill="1" applyAlignment="1">
      <alignment horizontal="right"/>
    </xf>
    <xf numFmtId="41" fontId="3" fillId="5" borderId="0" xfId="0" applyNumberFormat="1" applyFont="1" applyFill="1" applyAlignment="1">
      <alignment horizontal="right"/>
    </xf>
    <xf numFmtId="0" fontId="2" fillId="0" borderId="31" xfId="0" applyFont="1" applyBorder="1" applyAlignment="1">
      <alignment horizontal="left"/>
    </xf>
    <xf numFmtId="165" fontId="31" fillId="0" borderId="0" xfId="1" applyNumberFormat="1" applyFont="1" applyFill="1" applyAlignment="1" applyProtection="1">
      <protection locked="0"/>
    </xf>
    <xf numFmtId="0" fontId="67" fillId="9" borderId="58" xfId="0" applyFont="1" applyFill="1" applyBorder="1" applyAlignment="1">
      <alignment horizontal="center"/>
    </xf>
    <xf numFmtId="0" fontId="53" fillId="9" borderId="65" xfId="0" applyFont="1" applyFill="1" applyBorder="1" applyAlignment="1">
      <alignment horizontal="right"/>
    </xf>
    <xf numFmtId="41" fontId="14" fillId="0" borderId="53" xfId="0" applyNumberFormat="1" applyFont="1" applyBorder="1"/>
    <xf numFmtId="41" fontId="8" fillId="0" borderId="0" xfId="0" applyNumberFormat="1" applyFont="1"/>
    <xf numFmtId="165" fontId="58" fillId="0" borderId="0" xfId="0" applyNumberFormat="1" applyFont="1"/>
    <xf numFmtId="42" fontId="54" fillId="0" borderId="43" xfId="0" applyNumberFormat="1" applyFont="1" applyBorder="1"/>
    <xf numFmtId="0" fontId="14" fillId="19" borderId="58" xfId="0" applyFont="1" applyFill="1" applyBorder="1"/>
    <xf numFmtId="41" fontId="8" fillId="0" borderId="0" xfId="0" applyNumberFormat="1" applyFont="1" applyAlignment="1">
      <alignment horizontal="right"/>
    </xf>
    <xf numFmtId="41" fontId="2" fillId="0" borderId="31" xfId="0" applyNumberFormat="1" applyFont="1" applyBorder="1" applyAlignment="1" applyProtection="1">
      <alignment horizontal="right"/>
      <protection locked="0"/>
    </xf>
    <xf numFmtId="42" fontId="2" fillId="0" borderId="31" xfId="0" applyNumberFormat="1" applyFont="1" applyBorder="1" applyProtection="1">
      <protection locked="0"/>
    </xf>
    <xf numFmtId="42" fontId="2" fillId="5" borderId="31" xfId="0" applyNumberFormat="1" applyFont="1" applyFill="1" applyBorder="1" applyProtection="1">
      <protection locked="0"/>
    </xf>
    <xf numFmtId="0" fontId="0" fillId="0" borderId="0" xfId="0" quotePrefix="1" applyAlignment="1">
      <alignment horizontal="left"/>
    </xf>
    <xf numFmtId="166" fontId="0" fillId="0" borderId="0" xfId="0" applyNumberFormat="1" applyAlignment="1">
      <alignment horizontal="left"/>
    </xf>
    <xf numFmtId="165" fontId="0" fillId="0" borderId="0" xfId="0" applyNumberFormat="1" applyAlignment="1">
      <alignment horizontal="left"/>
    </xf>
    <xf numFmtId="165" fontId="56" fillId="0" borderId="0" xfId="0" applyNumberFormat="1" applyFont="1" applyAlignment="1">
      <alignment horizontal="left"/>
    </xf>
    <xf numFmtId="0" fontId="56" fillId="0" borderId="0" xfId="0" applyFont="1"/>
    <xf numFmtId="0" fontId="0" fillId="0" borderId="0" xfId="0" applyAlignment="1">
      <alignment horizontal="left"/>
    </xf>
    <xf numFmtId="0" fontId="0" fillId="0" borderId="66" xfId="0" applyBorder="1"/>
    <xf numFmtId="0" fontId="0" fillId="0" borderId="77" xfId="0" applyBorder="1"/>
    <xf numFmtId="0" fontId="69" fillId="0" borderId="78" xfId="0" applyFont="1" applyBorder="1" applyAlignment="1">
      <alignment horizontal="right"/>
    </xf>
    <xf numFmtId="0" fontId="69" fillId="0" borderId="0" xfId="0" applyFont="1" applyAlignment="1">
      <alignment horizontal="right"/>
    </xf>
    <xf numFmtId="0" fontId="0" fillId="0" borderId="74" xfId="0" applyBorder="1"/>
    <xf numFmtId="0" fontId="69" fillId="0" borderId="75" xfId="0" applyFont="1" applyBorder="1" applyAlignment="1">
      <alignment horizontal="right"/>
    </xf>
    <xf numFmtId="0" fontId="16" fillId="0" borderId="0" xfId="0" applyFont="1" applyAlignment="1">
      <alignment horizontal="left"/>
    </xf>
    <xf numFmtId="0" fontId="18" fillId="0" borderId="0" xfId="0" applyFont="1" applyAlignment="1">
      <alignment horizontal="left"/>
    </xf>
    <xf numFmtId="0" fontId="16" fillId="0" borderId="0" xfId="0" applyFont="1" applyAlignment="1" applyProtection="1">
      <alignment horizontal="left"/>
      <protection locked="0"/>
    </xf>
    <xf numFmtId="165" fontId="3" fillId="0" borderId="0" xfId="1" applyNumberFormat="1" applyFont="1" applyFill="1" applyAlignment="1">
      <alignment horizontal="left"/>
    </xf>
    <xf numFmtId="165" fontId="16" fillId="0" borderId="0" xfId="1" applyNumberFormat="1" applyFont="1" applyFill="1" applyAlignment="1" applyProtection="1">
      <alignment horizontal="left"/>
      <protection locked="0"/>
    </xf>
    <xf numFmtId="165" fontId="3" fillId="0" borderId="0" xfId="1" applyNumberFormat="1" applyFont="1" applyFill="1" applyAlignment="1">
      <alignment horizontal="left" vertical="top"/>
    </xf>
    <xf numFmtId="0" fontId="33" fillId="0" borderId="0" xfId="0" applyFont="1" applyAlignment="1">
      <alignment horizontal="left"/>
    </xf>
    <xf numFmtId="0" fontId="4" fillId="0" borderId="0" xfId="0" applyFont="1" applyAlignment="1">
      <alignment horizontal="left" vertical="top"/>
    </xf>
    <xf numFmtId="0" fontId="0" fillId="0" borderId="0" xfId="0" applyAlignment="1">
      <alignment horizontal="left" vertical="top"/>
    </xf>
    <xf numFmtId="17" fontId="14" fillId="0" borderId="60" xfId="0" applyNumberFormat="1" applyFont="1" applyBorder="1" applyAlignment="1">
      <alignment horizontal="left"/>
    </xf>
    <xf numFmtId="17" fontId="14" fillId="0" borderId="0" xfId="0" applyNumberFormat="1" applyFont="1" applyAlignment="1">
      <alignment horizontal="left"/>
    </xf>
    <xf numFmtId="17" fontId="14" fillId="0" borderId="4" xfId="0" applyNumberFormat="1" applyFont="1" applyBorder="1" applyAlignment="1">
      <alignment horizontal="left"/>
    </xf>
    <xf numFmtId="17" fontId="14" fillId="15" borderId="0" xfId="0" applyNumberFormat="1" applyFont="1" applyFill="1" applyAlignment="1">
      <alignment horizontal="left"/>
    </xf>
    <xf numFmtId="0" fontId="70" fillId="0" borderId="0" xfId="0" applyFont="1" applyAlignment="1">
      <alignment horizontal="center"/>
    </xf>
    <xf numFmtId="166" fontId="0" fillId="0" borderId="0" xfId="12" applyNumberFormat="1" applyFont="1"/>
    <xf numFmtId="41" fontId="8" fillId="0" borderId="0" xfId="0" applyNumberFormat="1" applyFont="1" applyAlignment="1">
      <alignment horizontal="center" vertical="center"/>
    </xf>
    <xf numFmtId="41" fontId="8" fillId="0" borderId="0" xfId="0" applyNumberFormat="1" applyFont="1" applyAlignment="1">
      <alignment horizontal="center"/>
    </xf>
    <xf numFmtId="41" fontId="8" fillId="0" borderId="31" xfId="0" applyNumberFormat="1" applyFont="1" applyBorder="1" applyAlignment="1">
      <alignment horizontal="center" vertical="center"/>
    </xf>
    <xf numFmtId="37" fontId="8" fillId="0" borderId="31" xfId="0" applyNumberFormat="1" applyFont="1" applyBorder="1" applyAlignment="1">
      <alignment horizontal="center"/>
    </xf>
    <xf numFmtId="9" fontId="2" fillId="0" borderId="0" xfId="11" applyFont="1" applyFill="1"/>
    <xf numFmtId="166" fontId="2" fillId="0" borderId="0" xfId="12" applyNumberFormat="1" applyFont="1" applyFill="1" applyBorder="1"/>
    <xf numFmtId="5" fontId="14" fillId="0" borderId="5" xfId="0" applyNumberFormat="1" applyFont="1" applyBorder="1"/>
    <xf numFmtId="171" fontId="2" fillId="0" borderId="31" xfId="0" applyNumberFormat="1" applyFont="1" applyBorder="1" applyAlignment="1">
      <alignment horizontal="left"/>
    </xf>
    <xf numFmtId="42" fontId="73" fillId="0" borderId="53" xfId="0" applyNumberFormat="1" applyFont="1" applyBorder="1"/>
    <xf numFmtId="0" fontId="75" fillId="0" borderId="0" xfId="0" applyFont="1"/>
    <xf numFmtId="0" fontId="60" fillId="0" borderId="0" xfId="0" applyFont="1" applyAlignment="1">
      <alignment horizontal="left"/>
    </xf>
    <xf numFmtId="165" fontId="15" fillId="0" borderId="66" xfId="0" applyNumberFormat="1" applyFont="1" applyBorder="1"/>
    <xf numFmtId="165" fontId="76" fillId="0" borderId="66" xfId="0" applyNumberFormat="1" applyFont="1" applyBorder="1"/>
    <xf numFmtId="165" fontId="75" fillId="0" borderId="66" xfId="0" applyNumberFormat="1" applyFont="1" applyBorder="1"/>
    <xf numFmtId="165" fontId="75" fillId="0" borderId="0" xfId="0" applyNumberFormat="1" applyFont="1"/>
    <xf numFmtId="165" fontId="76" fillId="0" borderId="0" xfId="0" applyNumberFormat="1" applyFont="1"/>
    <xf numFmtId="165" fontId="38" fillId="0" borderId="66" xfId="0" applyNumberFormat="1" applyFont="1" applyBorder="1"/>
    <xf numFmtId="165" fontId="15" fillId="0" borderId="31" xfId="0" applyNumberFormat="1" applyFont="1" applyBorder="1" applyProtection="1">
      <protection locked="0"/>
    </xf>
    <xf numFmtId="165" fontId="15" fillId="0" borderId="53" xfId="0" applyNumberFormat="1" applyFont="1" applyBorder="1"/>
    <xf numFmtId="165" fontId="15" fillId="0" borderId="66" xfId="1" applyNumberFormat="1" applyFont="1" applyFill="1" applyBorder="1"/>
    <xf numFmtId="165" fontId="75" fillId="0" borderId="66" xfId="1" applyNumberFormat="1" applyFont="1" applyFill="1" applyBorder="1"/>
    <xf numFmtId="165" fontId="75" fillId="0" borderId="66" xfId="1" applyNumberFormat="1" applyFont="1" applyBorder="1"/>
    <xf numFmtId="165" fontId="75" fillId="0" borderId="0" xfId="1" applyNumberFormat="1" applyFont="1" applyFill="1" applyBorder="1"/>
    <xf numFmtId="165" fontId="75" fillId="0" borderId="0" xfId="1" applyNumberFormat="1" applyFont="1" applyBorder="1"/>
    <xf numFmtId="165" fontId="38" fillId="0" borderId="0" xfId="1" applyNumberFormat="1" applyFont="1" applyFill="1" applyBorder="1" applyAlignment="1"/>
    <xf numFmtId="165" fontId="60" fillId="0" borderId="66" xfId="1" applyNumberFormat="1" applyFont="1" applyFill="1" applyBorder="1" applyAlignment="1"/>
    <xf numFmtId="165" fontId="38" fillId="0" borderId="66" xfId="1" applyNumberFormat="1" applyFont="1" applyFill="1" applyBorder="1" applyAlignment="1"/>
    <xf numFmtId="42" fontId="2" fillId="5" borderId="0" xfId="0" applyNumberFormat="1" applyFont="1" applyFill="1"/>
    <xf numFmtId="41" fontId="2" fillId="5" borderId="0" xfId="0" applyNumberFormat="1" applyFont="1" applyFill="1"/>
    <xf numFmtId="165" fontId="38" fillId="0" borderId="65" xfId="0" applyNumberFormat="1" applyFont="1" applyBorder="1" applyAlignment="1">
      <alignment vertical="center"/>
    </xf>
    <xf numFmtId="165" fontId="15" fillId="0" borderId="65" xfId="0" applyNumberFormat="1" applyFont="1" applyBorder="1"/>
    <xf numFmtId="43" fontId="15" fillId="0" borderId="65" xfId="0" applyNumberFormat="1" applyFont="1" applyBorder="1"/>
    <xf numFmtId="165" fontId="38" fillId="0" borderId="65" xfId="0" applyNumberFormat="1" applyFont="1" applyBorder="1"/>
    <xf numFmtId="165" fontId="15" fillId="0" borderId="43" xfId="0" applyNumberFormat="1" applyFont="1" applyBorder="1"/>
    <xf numFmtId="43" fontId="15" fillId="0" borderId="43" xfId="0" applyNumberFormat="1" applyFont="1" applyBorder="1"/>
    <xf numFmtId="165" fontId="38" fillId="0" borderId="43" xfId="0" applyNumberFormat="1" applyFont="1" applyBorder="1"/>
    <xf numFmtId="17" fontId="14" fillId="15" borderId="66" xfId="0" applyNumberFormat="1" applyFont="1" applyFill="1" applyBorder="1" applyAlignment="1">
      <alignment horizontal="left"/>
    </xf>
    <xf numFmtId="0" fontId="14" fillId="15" borderId="0" xfId="0" applyFont="1" applyFill="1"/>
    <xf numFmtId="0" fontId="14" fillId="15" borderId="31" xfId="0" applyFont="1" applyFill="1" applyBorder="1"/>
    <xf numFmtId="0" fontId="14" fillId="14" borderId="21" xfId="0" applyFont="1" applyFill="1" applyBorder="1"/>
    <xf numFmtId="5" fontId="14" fillId="15" borderId="20" xfId="0" applyNumberFormat="1" applyFont="1" applyFill="1" applyBorder="1"/>
    <xf numFmtId="5" fontId="14" fillId="15" borderId="21" xfId="0" applyNumberFormat="1" applyFont="1" applyFill="1" applyBorder="1"/>
    <xf numFmtId="0" fontId="77" fillId="0" borderId="4" xfId="0" applyFont="1" applyBorder="1" applyAlignment="1">
      <alignment horizontal="right"/>
    </xf>
    <xf numFmtId="1" fontId="77" fillId="0" borderId="79" xfId="0" applyNumberFormat="1" applyFont="1" applyBorder="1"/>
    <xf numFmtId="1" fontId="77" fillId="0" borderId="80" xfId="0" applyNumberFormat="1" applyFont="1" applyBorder="1"/>
    <xf numFmtId="1" fontId="77" fillId="0" borderId="81" xfId="0" applyNumberFormat="1" applyFont="1" applyBorder="1"/>
    <xf numFmtId="1" fontId="77" fillId="0" borderId="52" xfId="0" applyNumberFormat="1" applyFont="1" applyBorder="1"/>
    <xf numFmtId="0" fontId="77" fillId="0" borderId="5" xfId="0" applyFont="1" applyBorder="1" applyAlignment="1">
      <alignment horizontal="right"/>
    </xf>
    <xf numFmtId="0" fontId="66" fillId="0" borderId="0" xfId="0" applyFont="1"/>
    <xf numFmtId="0" fontId="25" fillId="0" borderId="0" xfId="0" applyFont="1"/>
    <xf numFmtId="0" fontId="0" fillId="0" borderId="0" xfId="0" applyAlignment="1">
      <alignment horizontal="center"/>
    </xf>
    <xf numFmtId="0" fontId="10" fillId="22" borderId="0" xfId="0" applyFont="1" applyFill="1"/>
    <xf numFmtId="0" fontId="10" fillId="21" borderId="0" xfId="0" applyFont="1" applyFill="1"/>
    <xf numFmtId="0" fontId="0" fillId="23" borderId="0" xfId="0" applyFill="1" applyAlignment="1">
      <alignment horizontal="centerContinuous"/>
    </xf>
    <xf numFmtId="0" fontId="78" fillId="2" borderId="0" xfId="0" quotePrefix="1" applyFont="1" applyFill="1" applyAlignment="1">
      <alignment horizontal="center" wrapText="1"/>
    </xf>
    <xf numFmtId="0" fontId="78" fillId="0" borderId="0" xfId="0" applyFont="1" applyAlignment="1">
      <alignment horizontal="centerContinuous"/>
    </xf>
    <xf numFmtId="0" fontId="78" fillId="0" borderId="0" xfId="0" applyFont="1" applyAlignment="1">
      <alignment horizontal="center"/>
    </xf>
    <xf numFmtId="0" fontId="78" fillId="2" borderId="0" xfId="0" applyFont="1" applyFill="1" applyAlignment="1">
      <alignment horizontal="center"/>
    </xf>
    <xf numFmtId="0" fontId="72" fillId="0" borderId="0" xfId="0" applyFont="1" applyAlignment="1">
      <alignment horizontal="center"/>
    </xf>
    <xf numFmtId="14" fontId="7" fillId="2" borderId="31" xfId="0" applyNumberFormat="1" applyFont="1" applyFill="1" applyBorder="1" applyAlignment="1">
      <alignment horizontal="center"/>
    </xf>
    <xf numFmtId="0" fontId="0" fillId="2" borderId="0" xfId="0" applyFill="1"/>
    <xf numFmtId="166" fontId="0" fillId="0" borderId="63" xfId="12" applyNumberFormat="1" applyFont="1" applyFill="1" applyBorder="1" applyAlignment="1">
      <alignment wrapText="1"/>
    </xf>
    <xf numFmtId="166" fontId="0" fillId="2" borderId="0" xfId="12" applyNumberFormat="1" applyFont="1" applyFill="1"/>
    <xf numFmtId="166" fontId="0" fillId="0" borderId="63" xfId="12" applyNumberFormat="1" applyFont="1" applyFill="1" applyBorder="1" applyAlignment="1"/>
    <xf numFmtId="166" fontId="0" fillId="0" borderId="0" xfId="12" applyNumberFormat="1" applyFont="1" applyFill="1"/>
    <xf numFmtId="44" fontId="0" fillId="0" borderId="0" xfId="12" applyFont="1"/>
    <xf numFmtId="166" fontId="0" fillId="2" borderId="53" xfId="0" applyNumberFormat="1" applyFill="1" applyBorder="1"/>
    <xf numFmtId="166" fontId="0" fillId="0" borderId="53" xfId="0" applyNumberFormat="1" applyBorder="1"/>
    <xf numFmtId="0" fontId="7" fillId="2" borderId="31" xfId="0" applyFont="1" applyFill="1" applyBorder="1" applyAlignment="1">
      <alignment horizontal="center"/>
    </xf>
    <xf numFmtId="0" fontId="0" fillId="0" borderId="0" xfId="12" applyNumberFormat="1" applyFont="1" applyFill="1" applyAlignment="1"/>
    <xf numFmtId="166" fontId="0" fillId="2" borderId="66" xfId="0" applyNumberFormat="1" applyFill="1" applyBorder="1"/>
    <xf numFmtId="166" fontId="0" fillId="2" borderId="0" xfId="0" applyNumberFormat="1" applyFill="1"/>
    <xf numFmtId="0" fontId="19" fillId="0" borderId="63" xfId="0" applyFont="1" applyBorder="1"/>
    <xf numFmtId="166" fontId="0" fillId="0" borderId="63" xfId="12" applyNumberFormat="1" applyFont="1" applyFill="1" applyBorder="1"/>
    <xf numFmtId="167" fontId="31" fillId="0" borderId="0" xfId="0" applyNumberFormat="1" applyFont="1"/>
    <xf numFmtId="0" fontId="79" fillId="0" borderId="0" xfId="0" applyFont="1" applyAlignment="1">
      <alignment horizontal="left"/>
    </xf>
    <xf numFmtId="165" fontId="2" fillId="0" borderId="0" xfId="0" quotePrefix="1" applyNumberFormat="1" applyFont="1" applyAlignment="1">
      <alignment horizontal="left"/>
    </xf>
    <xf numFmtId="166" fontId="3" fillId="0" borderId="53" xfId="0" quotePrefix="1" applyNumberFormat="1" applyFont="1" applyBorder="1" applyAlignment="1">
      <alignment horizontal="left"/>
    </xf>
    <xf numFmtId="0" fontId="31" fillId="0" borderId="0" xfId="0" applyFont="1" applyAlignment="1">
      <alignment horizontal="left"/>
    </xf>
    <xf numFmtId="0" fontId="80" fillId="24" borderId="0" xfId="0" applyFont="1" applyFill="1" applyAlignment="1">
      <alignment horizontal="center" vertical="center"/>
    </xf>
    <xf numFmtId="0" fontId="40" fillId="0" borderId="0" xfId="0" applyFont="1" applyAlignment="1">
      <alignment horizontal="center"/>
    </xf>
    <xf numFmtId="0" fontId="40" fillId="0" borderId="0" xfId="0" applyFont="1"/>
    <xf numFmtId="0" fontId="83" fillId="0" borderId="0" xfId="0" applyFont="1"/>
    <xf numFmtId="0" fontId="40" fillId="0" borderId="63" xfId="0" applyFont="1" applyBorder="1"/>
    <xf numFmtId="0" fontId="40" fillId="20" borderId="0" xfId="0" applyFont="1" applyFill="1"/>
    <xf numFmtId="165" fontId="85" fillId="0" borderId="63" xfId="1" applyNumberFormat="1" applyFont="1" applyBorder="1"/>
    <xf numFmtId="165" fontId="40" fillId="17" borderId="0" xfId="1" applyNumberFormat="1" applyFont="1" applyFill="1"/>
    <xf numFmtId="0" fontId="3" fillId="17" borderId="63" xfId="0" applyFont="1" applyFill="1" applyBorder="1" applyAlignment="1">
      <alignment horizontal="left"/>
    </xf>
    <xf numFmtId="0" fontId="40" fillId="17" borderId="63" xfId="0" applyFont="1" applyFill="1" applyBorder="1"/>
    <xf numFmtId="166" fontId="84" fillId="17" borderId="63" xfId="0" applyNumberFormat="1" applyFont="1" applyFill="1" applyBorder="1"/>
    <xf numFmtId="0" fontId="18" fillId="0" borderId="63" xfId="0" applyFont="1" applyBorder="1" applyAlignment="1">
      <alignment horizontal="left" indent="1"/>
    </xf>
    <xf numFmtId="165" fontId="85" fillId="17" borderId="63" xfId="1" applyNumberFormat="1" applyFont="1" applyFill="1" applyBorder="1"/>
    <xf numFmtId="0" fontId="3" fillId="17" borderId="0" xfId="0" applyFont="1" applyFill="1" applyAlignment="1">
      <alignment horizontal="left"/>
    </xf>
    <xf numFmtId="0" fontId="40" fillId="17" borderId="0" xfId="0" applyFont="1" applyFill="1"/>
    <xf numFmtId="0" fontId="2" fillId="17" borderId="4" xfId="0" applyFont="1" applyFill="1" applyBorder="1" applyAlignment="1">
      <alignment horizontal="left" indent="1"/>
    </xf>
    <xf numFmtId="166" fontId="40" fillId="17" borderId="0" xfId="12" applyNumberFormat="1" applyFont="1" applyFill="1"/>
    <xf numFmtId="165" fontId="86" fillId="17" borderId="0" xfId="1" applyNumberFormat="1" applyFont="1" applyFill="1"/>
    <xf numFmtId="0" fontId="3" fillId="17" borderId="4" xfId="0" applyFont="1" applyFill="1" applyBorder="1" applyAlignment="1">
      <alignment horizontal="left"/>
    </xf>
    <xf numFmtId="166" fontId="84" fillId="17" borderId="0" xfId="0" applyNumberFormat="1" applyFont="1" applyFill="1"/>
    <xf numFmtId="0" fontId="34" fillId="0" borderId="0" xfId="0" applyFont="1" applyAlignment="1">
      <alignment horizontal="left"/>
    </xf>
    <xf numFmtId="0" fontId="34" fillId="0" borderId="4" xfId="0" applyFont="1" applyBorder="1" applyAlignment="1">
      <alignment horizontal="left" indent="1"/>
    </xf>
    <xf numFmtId="165" fontId="83" fillId="0" borderId="0" xfId="1" applyNumberFormat="1" applyFont="1"/>
    <xf numFmtId="166" fontId="87" fillId="17" borderId="0" xfId="0" applyNumberFormat="1" applyFont="1" applyFill="1"/>
    <xf numFmtId="165" fontId="38" fillId="0" borderId="0" xfId="0" quotePrefix="1" applyNumberFormat="1" applyFont="1" applyAlignment="1">
      <alignment horizontal="left"/>
    </xf>
    <xf numFmtId="0" fontId="8" fillId="17" borderId="0" xfId="0" applyFont="1" applyFill="1"/>
    <xf numFmtId="0" fontId="2" fillId="17" borderId="0" xfId="0" applyFont="1" applyFill="1"/>
    <xf numFmtId="41" fontId="8" fillId="17" borderId="0" xfId="0" applyNumberFormat="1" applyFont="1" applyFill="1"/>
    <xf numFmtId="0" fontId="18" fillId="17" borderId="0" xfId="0" applyFont="1" applyFill="1"/>
    <xf numFmtId="41" fontId="18" fillId="17" borderId="0" xfId="0" applyNumberFormat="1" applyFont="1" applyFill="1"/>
    <xf numFmtId="165" fontId="18" fillId="17" borderId="0" xfId="0" applyNumberFormat="1" applyFont="1" applyFill="1"/>
    <xf numFmtId="42" fontId="18" fillId="17" borderId="0" xfId="0" applyNumberFormat="1" applyFont="1" applyFill="1"/>
    <xf numFmtId="0" fontId="90" fillId="0" borderId="0" xfId="0" applyFont="1"/>
    <xf numFmtId="0" fontId="1" fillId="0" borderId="0" xfId="0" applyFont="1"/>
    <xf numFmtId="166" fontId="91" fillId="0" borderId="0" xfId="12" applyNumberFormat="1" applyFont="1" applyFill="1" applyBorder="1"/>
    <xf numFmtId="0" fontId="92" fillId="0" borderId="0" xfId="0" applyFont="1" applyAlignment="1">
      <alignment horizontal="left" indent="1"/>
    </xf>
    <xf numFmtId="165" fontId="93" fillId="0" borderId="0" xfId="7" applyNumberFormat="1" applyFont="1" applyFill="1" applyBorder="1"/>
    <xf numFmtId="41" fontId="93" fillId="0" borderId="0" xfId="12" applyNumberFormat="1" applyFont="1" applyFill="1" applyBorder="1"/>
    <xf numFmtId="9" fontId="92" fillId="0" borderId="0" xfId="8" applyFont="1" applyFill="1" applyBorder="1"/>
    <xf numFmtId="166" fontId="94" fillId="0" borderId="65" xfId="12" applyNumberFormat="1" applyFont="1" applyFill="1" applyBorder="1"/>
    <xf numFmtId="165" fontId="14" fillId="0" borderId="0" xfId="1" applyNumberFormat="1" applyFont="1"/>
    <xf numFmtId="165" fontId="93" fillId="0" borderId="0" xfId="1" applyNumberFormat="1" applyFont="1" applyFill="1" applyBorder="1" applyAlignment="1"/>
    <xf numFmtId="165" fontId="93" fillId="0" borderId="0" xfId="1" applyNumberFormat="1" applyFont="1" applyFill="1" applyBorder="1"/>
    <xf numFmtId="165" fontId="93" fillId="0" borderId="31" xfId="1" applyNumberFormat="1" applyFont="1" applyFill="1" applyBorder="1"/>
    <xf numFmtId="165" fontId="14" fillId="0" borderId="31" xfId="1" applyNumberFormat="1" applyFont="1" applyBorder="1"/>
    <xf numFmtId="0" fontId="0" fillId="17" borderId="0" xfId="0" applyFill="1"/>
    <xf numFmtId="0" fontId="18" fillId="0" borderId="0" xfId="0" applyFont="1" applyAlignment="1">
      <alignment horizontal="left" indent="1"/>
    </xf>
    <xf numFmtId="0" fontId="0" fillId="18" borderId="0" xfId="0" quotePrefix="1" applyFill="1" applyAlignment="1">
      <alignment horizontal="left"/>
    </xf>
    <xf numFmtId="165" fontId="0" fillId="27" borderId="0" xfId="0" applyNumberFormat="1" applyFill="1" applyAlignment="1">
      <alignment horizontal="left"/>
    </xf>
    <xf numFmtId="0" fontId="0" fillId="6" borderId="0" xfId="0" quotePrefix="1" applyFill="1" applyAlignment="1">
      <alignment horizontal="left"/>
    </xf>
    <xf numFmtId="165" fontId="17" fillId="0" borderId="0" xfId="0" applyNumberFormat="1" applyFont="1" applyAlignment="1">
      <alignment horizontal="left"/>
    </xf>
    <xf numFmtId="165" fontId="2" fillId="0" borderId="0" xfId="1" applyNumberFormat="1" applyFont="1" applyFill="1" applyBorder="1" applyAlignment="1">
      <alignment horizontal="right"/>
    </xf>
    <xf numFmtId="41" fontId="3" fillId="0" borderId="65" xfId="0" applyNumberFormat="1" applyFont="1" applyBorder="1" applyAlignment="1">
      <alignment horizontal="right"/>
    </xf>
    <xf numFmtId="41" fontId="3" fillId="0" borderId="66" xfId="0" applyNumberFormat="1" applyFont="1" applyBorder="1" applyAlignment="1">
      <alignment horizontal="right"/>
    </xf>
    <xf numFmtId="166" fontId="28" fillId="0" borderId="0" xfId="12" applyNumberFormat="1" applyFont="1"/>
    <xf numFmtId="166" fontId="66" fillId="0" borderId="0" xfId="12" applyNumberFormat="1" applyFont="1"/>
    <xf numFmtId="0" fontId="6" fillId="0" borderId="53" xfId="0" applyFont="1" applyBorder="1"/>
    <xf numFmtId="3" fontId="6" fillId="0" borderId="0" xfId="0" applyNumberFormat="1" applyFont="1"/>
    <xf numFmtId="0" fontId="17" fillId="17" borderId="0" xfId="0" applyFont="1" applyFill="1"/>
    <xf numFmtId="42" fontId="18" fillId="17" borderId="0" xfId="0" applyNumberFormat="1" applyFont="1" applyFill="1" applyAlignment="1">
      <alignment horizontal="right"/>
    </xf>
    <xf numFmtId="165" fontId="18" fillId="17" borderId="31" xfId="0" applyNumberFormat="1" applyFont="1" applyFill="1" applyBorder="1"/>
    <xf numFmtId="41" fontId="18" fillId="17" borderId="66" xfId="0" applyNumberFormat="1" applyFont="1" applyFill="1" applyBorder="1"/>
    <xf numFmtId="0" fontId="18" fillId="17" borderId="31" xfId="0" applyFont="1" applyFill="1" applyBorder="1"/>
    <xf numFmtId="166" fontId="18" fillId="17" borderId="53" xfId="0" applyNumberFormat="1" applyFont="1" applyFill="1" applyBorder="1"/>
    <xf numFmtId="0" fontId="18" fillId="17" borderId="40" xfId="0" applyFont="1" applyFill="1" applyBorder="1"/>
    <xf numFmtId="0" fontId="18" fillId="17" borderId="53" xfId="0" applyFont="1" applyFill="1" applyBorder="1"/>
    <xf numFmtId="3" fontId="18" fillId="17" borderId="0" xfId="0" applyNumberFormat="1" applyFont="1" applyFill="1"/>
    <xf numFmtId="0" fontId="50" fillId="17" borderId="0" xfId="0" applyFont="1" applyFill="1"/>
    <xf numFmtId="42" fontId="8" fillId="17" borderId="0" xfId="0" applyNumberFormat="1" applyFont="1" applyFill="1" applyAlignment="1">
      <alignment horizontal="right"/>
    </xf>
    <xf numFmtId="42" fontId="8" fillId="17" borderId="0" xfId="0" applyNumberFormat="1" applyFont="1" applyFill="1"/>
    <xf numFmtId="165" fontId="8" fillId="17" borderId="0" xfId="0" applyNumberFormat="1" applyFont="1" applyFill="1"/>
    <xf numFmtId="165" fontId="8" fillId="17" borderId="31" xfId="0" applyNumberFormat="1" applyFont="1" applyFill="1" applyBorder="1"/>
    <xf numFmtId="41" fontId="8" fillId="17" borderId="66" xfId="0" applyNumberFormat="1" applyFont="1" applyFill="1" applyBorder="1"/>
    <xf numFmtId="0" fontId="8" fillId="17" borderId="31" xfId="0" applyFont="1" applyFill="1" applyBorder="1"/>
    <xf numFmtId="166" fontId="8" fillId="17" borderId="53" xfId="0" applyNumberFormat="1" applyFont="1" applyFill="1" applyBorder="1"/>
    <xf numFmtId="0" fontId="8" fillId="17" borderId="40" xfId="0" applyFont="1" applyFill="1" applyBorder="1"/>
    <xf numFmtId="0" fontId="8" fillId="17" borderId="53" xfId="0" applyFont="1" applyFill="1" applyBorder="1"/>
    <xf numFmtId="3" fontId="8" fillId="17" borderId="0" xfId="0" applyNumberFormat="1" applyFont="1" applyFill="1"/>
    <xf numFmtId="0" fontId="49" fillId="17" borderId="0" xfId="0" applyFont="1" applyFill="1"/>
    <xf numFmtId="0" fontId="95" fillId="0" borderId="0" xfId="0" applyFont="1" applyAlignment="1">
      <alignment horizontal="left"/>
    </xf>
    <xf numFmtId="171" fontId="31" fillId="0" borderId="0" xfId="0" applyNumberFormat="1" applyFont="1" applyAlignment="1">
      <alignment horizontal="left"/>
    </xf>
    <xf numFmtId="171" fontId="31" fillId="0" borderId="0" xfId="0" applyNumberFormat="1" applyFont="1"/>
    <xf numFmtId="0" fontId="97" fillId="0" borderId="0" xfId="0" applyFont="1"/>
    <xf numFmtId="166" fontId="2" fillId="0" borderId="31" xfId="0" applyNumberFormat="1" applyFont="1" applyBorder="1"/>
    <xf numFmtId="165" fontId="5" fillId="0" borderId="43" xfId="0" applyNumberFormat="1" applyFont="1" applyBorder="1"/>
    <xf numFmtId="165" fontId="22" fillId="0" borderId="0" xfId="0" applyNumberFormat="1" applyFont="1"/>
    <xf numFmtId="165" fontId="5" fillId="0" borderId="53" xfId="0" applyNumberFormat="1" applyFont="1" applyBorder="1"/>
    <xf numFmtId="0" fontId="6" fillId="0" borderId="66" xfId="0" applyFont="1" applyBorder="1"/>
    <xf numFmtId="181" fontId="6" fillId="0" borderId="0" xfId="0" applyNumberFormat="1" applyFont="1"/>
    <xf numFmtId="0" fontId="99" fillId="0" borderId="0" xfId="0" applyFont="1"/>
    <xf numFmtId="0" fontId="0" fillId="0" borderId="75" xfId="0" applyBorder="1"/>
    <xf numFmtId="0" fontId="0" fillId="0" borderId="78" xfId="0" applyBorder="1"/>
    <xf numFmtId="37" fontId="69" fillId="0" borderId="89" xfId="0" applyNumberFormat="1" applyFont="1" applyBorder="1"/>
    <xf numFmtId="37" fontId="69" fillId="0" borderId="0" xfId="0" applyNumberFormat="1" applyFont="1"/>
    <xf numFmtId="37" fontId="69" fillId="0" borderId="75" xfId="0" applyNumberFormat="1" applyFont="1" applyBorder="1"/>
    <xf numFmtId="0" fontId="0" fillId="0" borderId="92" xfId="0" applyBorder="1"/>
    <xf numFmtId="37" fontId="69" fillId="0" borderId="90" xfId="0" applyNumberFormat="1" applyFont="1" applyBorder="1"/>
    <xf numFmtId="165" fontId="69" fillId="0" borderId="91" xfId="0" applyNumberFormat="1" applyFont="1" applyBorder="1" applyAlignment="1">
      <alignment horizontal="left"/>
    </xf>
    <xf numFmtId="0" fontId="69" fillId="0" borderId="91" xfId="0" applyFont="1" applyBorder="1" applyAlignment="1">
      <alignment horizontal="left"/>
    </xf>
    <xf numFmtId="0" fontId="0" fillId="0" borderId="91" xfId="0" applyBorder="1"/>
    <xf numFmtId="0" fontId="0" fillId="0" borderId="70" xfId="0" applyBorder="1"/>
    <xf numFmtId="37" fontId="69" fillId="0" borderId="89" xfId="0" applyNumberFormat="1" applyFont="1" applyBorder="1" applyAlignment="1">
      <alignment horizontal="centerContinuous"/>
    </xf>
    <xf numFmtId="0" fontId="0" fillId="0" borderId="70" xfId="0" applyBorder="1" applyAlignment="1">
      <alignment horizontal="centerContinuous"/>
    </xf>
    <xf numFmtId="165" fontId="0" fillId="0" borderId="70" xfId="0" applyNumberFormat="1" applyBorder="1" applyAlignment="1">
      <alignment horizontal="centerContinuous"/>
    </xf>
    <xf numFmtId="0" fontId="0" fillId="0" borderId="71" xfId="0" applyBorder="1" applyAlignment="1">
      <alignment horizontal="centerContinuous"/>
    </xf>
    <xf numFmtId="165" fontId="69" fillId="0" borderId="88" xfId="0" applyNumberFormat="1" applyFont="1" applyBorder="1" applyAlignment="1">
      <alignment horizontal="centerContinuous"/>
    </xf>
    <xf numFmtId="0" fontId="69" fillId="0" borderId="88" xfId="0" applyFont="1" applyBorder="1" applyAlignment="1">
      <alignment horizontal="centerContinuous"/>
    </xf>
    <xf numFmtId="37" fontId="69" fillId="0" borderId="70" xfId="0" applyNumberFormat="1" applyFont="1" applyBorder="1"/>
    <xf numFmtId="37" fontId="69" fillId="0" borderId="73" xfId="0" applyNumberFormat="1" applyFont="1" applyBorder="1"/>
    <xf numFmtId="37" fontId="69" fillId="0" borderId="74" xfId="0" applyNumberFormat="1" applyFont="1" applyBorder="1"/>
    <xf numFmtId="165" fontId="69" fillId="0" borderId="0" xfId="0" applyNumberFormat="1" applyFont="1" applyAlignment="1">
      <alignment horizontal="left"/>
    </xf>
    <xf numFmtId="37" fontId="0" fillId="0" borderId="0" xfId="0" applyNumberFormat="1"/>
    <xf numFmtId="0" fontId="69" fillId="0" borderId="71" xfId="0" applyFont="1" applyBorder="1"/>
    <xf numFmtId="0" fontId="69" fillId="0" borderId="72" xfId="0" applyFont="1" applyBorder="1"/>
    <xf numFmtId="0" fontId="69" fillId="0" borderId="0" xfId="0" applyFont="1"/>
    <xf numFmtId="41" fontId="0" fillId="0" borderId="31" xfId="0" applyNumberFormat="1" applyBorder="1"/>
    <xf numFmtId="165" fontId="0" fillId="0" borderId="0" xfId="0" applyNumberFormat="1"/>
    <xf numFmtId="41" fontId="7" fillId="0" borderId="0" xfId="0" applyNumberFormat="1" applyFont="1"/>
    <xf numFmtId="165" fontId="7" fillId="0" borderId="0" xfId="1" applyNumberFormat="1" applyFont="1" applyFill="1"/>
    <xf numFmtId="166" fontId="100" fillId="0" borderId="63" xfId="12" applyNumberFormat="1" applyFont="1" applyBorder="1"/>
    <xf numFmtId="41" fontId="0" fillId="9" borderId="0" xfId="0" applyNumberFormat="1" applyFill="1"/>
    <xf numFmtId="0" fontId="32" fillId="0" borderId="0" xfId="0" applyFont="1" applyAlignment="1">
      <alignment horizontal="center"/>
    </xf>
    <xf numFmtId="41" fontId="101" fillId="0" borderId="0" xfId="0" applyNumberFormat="1" applyFont="1"/>
    <xf numFmtId="0" fontId="71" fillId="0" borderId="0" xfId="0" applyFont="1" applyAlignment="1">
      <alignment horizontal="center"/>
    </xf>
    <xf numFmtId="41" fontId="17" fillId="0" borderId="31" xfId="0" applyNumberFormat="1" applyFont="1" applyBorder="1"/>
    <xf numFmtId="41" fontId="101" fillId="0" borderId="31" xfId="0" applyNumberFormat="1" applyFont="1" applyBorder="1"/>
    <xf numFmtId="166" fontId="7" fillId="0" borderId="0" xfId="12" applyNumberFormat="1" applyFont="1"/>
    <xf numFmtId="166" fontId="17" fillId="0" borderId="0" xfId="12" applyNumberFormat="1" applyFont="1"/>
    <xf numFmtId="166" fontId="101" fillId="0" borderId="0" xfId="12" applyNumberFormat="1" applyFont="1"/>
    <xf numFmtId="165" fontId="9" fillId="9" borderId="0" xfId="1" applyNumberFormat="1" applyFont="1" applyFill="1"/>
    <xf numFmtId="165" fontId="74" fillId="0" borderId="0" xfId="1" applyNumberFormat="1" applyFont="1"/>
    <xf numFmtId="0" fontId="101" fillId="0" borderId="0" xfId="0" applyFont="1"/>
    <xf numFmtId="165" fontId="9" fillId="0" borderId="0" xfId="1" applyNumberFormat="1" applyFont="1"/>
    <xf numFmtId="165" fontId="9" fillId="0" borderId="0" xfId="1" applyNumberFormat="1" applyFont="1" applyFill="1"/>
    <xf numFmtId="41" fontId="19" fillId="0" borderId="0" xfId="0" applyNumberFormat="1" applyFont="1"/>
    <xf numFmtId="42" fontId="101" fillId="0" borderId="0" xfId="0" applyNumberFormat="1" applyFont="1"/>
    <xf numFmtId="165" fontId="17" fillId="0" borderId="0" xfId="1" applyNumberFormat="1" applyFont="1" applyFill="1"/>
    <xf numFmtId="165" fontId="101" fillId="0" borderId="0" xfId="1" applyNumberFormat="1" applyFont="1" applyFill="1"/>
    <xf numFmtId="41" fontId="19" fillId="0" borderId="31" xfId="0" applyNumberFormat="1" applyFont="1" applyBorder="1"/>
    <xf numFmtId="0" fontId="72" fillId="0" borderId="0" xfId="0" applyFont="1" applyAlignment="1">
      <alignment horizontal="left" indent="2"/>
    </xf>
    <xf numFmtId="0" fontId="0" fillId="0" borderId="0" xfId="0" applyAlignment="1">
      <alignment horizontal="left" indent="1"/>
    </xf>
    <xf numFmtId="165" fontId="32" fillId="0" borderId="0" xfId="1" applyNumberFormat="1" applyFont="1"/>
    <xf numFmtId="41" fontId="66" fillId="17" borderId="0" xfId="0" applyNumberFormat="1" applyFont="1" applyFill="1"/>
    <xf numFmtId="41" fontId="28" fillId="17" borderId="0" xfId="0" applyNumberFormat="1" applyFont="1" applyFill="1"/>
    <xf numFmtId="0" fontId="28" fillId="17" borderId="0" xfId="0" applyFont="1" applyFill="1"/>
    <xf numFmtId="42" fontId="28" fillId="17" borderId="0" xfId="0" applyNumberFormat="1" applyFont="1" applyFill="1"/>
    <xf numFmtId="166" fontId="28" fillId="17" borderId="0" xfId="12" applyNumberFormat="1" applyFont="1" applyFill="1"/>
    <xf numFmtId="0" fontId="19" fillId="0" borderId="0" xfId="0" applyFont="1" applyAlignment="1">
      <alignment horizontal="left" indent="2"/>
    </xf>
    <xf numFmtId="0" fontId="105" fillId="0" borderId="0" xfId="0" applyFont="1"/>
    <xf numFmtId="10" fontId="38" fillId="0" borderId="0" xfId="11" applyNumberFormat="1" applyFont="1" applyFill="1" applyBorder="1"/>
    <xf numFmtId="0" fontId="19" fillId="0" borderId="0" xfId="0" applyFont="1" applyAlignment="1">
      <alignment horizontal="left" indent="3"/>
    </xf>
    <xf numFmtId="0" fontId="2" fillId="27" borderId="0" xfId="0" applyFont="1" applyFill="1"/>
    <xf numFmtId="41" fontId="2" fillId="27" borderId="31" xfId="0" applyNumberFormat="1" applyFont="1" applyFill="1" applyBorder="1" applyAlignment="1">
      <alignment horizontal="right"/>
    </xf>
    <xf numFmtId="0" fontId="7" fillId="28" borderId="0" xfId="0" applyFont="1" applyFill="1" applyAlignment="1">
      <alignment horizontal="left"/>
    </xf>
    <xf numFmtId="166" fontId="6" fillId="0" borderId="31" xfId="0" applyNumberFormat="1" applyFont="1" applyBorder="1"/>
    <xf numFmtId="165" fontId="5" fillId="0" borderId="0" xfId="0" applyNumberFormat="1" applyFont="1"/>
    <xf numFmtId="44" fontId="0" fillId="0" borderId="0" xfId="0" applyNumberFormat="1"/>
    <xf numFmtId="0" fontId="28" fillId="0" borderId="0" xfId="0" applyFont="1"/>
    <xf numFmtId="0" fontId="8" fillId="0" borderId="0" xfId="0" applyFont="1"/>
    <xf numFmtId="0" fontId="8" fillId="0" borderId="0" xfId="0" applyFont="1" applyAlignment="1">
      <alignment horizontal="left"/>
    </xf>
    <xf numFmtId="43" fontId="8" fillId="0" borderId="0" xfId="0" applyNumberFormat="1" applyFont="1"/>
    <xf numFmtId="180" fontId="2" fillId="0" borderId="0" xfId="0" applyNumberFormat="1" applyFont="1" applyAlignment="1">
      <alignment horizontal="center"/>
    </xf>
    <xf numFmtId="171" fontId="2" fillId="0" borderId="0" xfId="0" applyNumberFormat="1" applyFont="1" applyAlignment="1">
      <alignment horizontal="center" wrapText="1"/>
    </xf>
    <xf numFmtId="165" fontId="74" fillId="9" borderId="0" xfId="1" applyNumberFormat="1" applyFont="1" applyFill="1"/>
    <xf numFmtId="0" fontId="66" fillId="0" borderId="0" xfId="0" applyFont="1" applyAlignment="1">
      <alignment horizontal="left" indent="1"/>
    </xf>
    <xf numFmtId="165" fontId="107" fillId="17" borderId="63" xfId="1" applyNumberFormat="1" applyFont="1" applyFill="1" applyBorder="1"/>
    <xf numFmtId="0" fontId="31" fillId="0" borderId="0" xfId="0" applyFont="1" applyAlignment="1">
      <alignment horizontal="left" indent="2"/>
    </xf>
    <xf numFmtId="0" fontId="108" fillId="0" borderId="0" xfId="0" applyFont="1" applyAlignment="1">
      <alignment horizontal="left"/>
    </xf>
    <xf numFmtId="0" fontId="47" fillId="0" borderId="0" xfId="0" applyFont="1" applyAlignment="1">
      <alignment horizontal="left"/>
    </xf>
    <xf numFmtId="0" fontId="47" fillId="0" borderId="0" xfId="0" applyFont="1" applyAlignment="1">
      <alignment horizontal="left" indent="2"/>
    </xf>
    <xf numFmtId="0" fontId="109" fillId="0" borderId="0" xfId="0" applyFont="1" applyAlignment="1">
      <alignment horizontal="left"/>
    </xf>
    <xf numFmtId="0" fontId="110" fillId="0" borderId="0" xfId="0" applyFont="1"/>
    <xf numFmtId="0" fontId="110" fillId="0" borderId="0" xfId="0" applyFont="1" applyAlignment="1">
      <alignment horizontal="left" indent="1"/>
    </xf>
    <xf numFmtId="166" fontId="110" fillId="0" borderId="0" xfId="12" applyNumberFormat="1" applyFont="1" applyFill="1" applyBorder="1" applyAlignment="1"/>
    <xf numFmtId="166" fontId="110" fillId="0" borderId="0" xfId="12" applyNumberFormat="1" applyFont="1" applyFill="1" applyBorder="1"/>
    <xf numFmtId="165" fontId="110" fillId="0" borderId="0" xfId="1" applyNumberFormat="1" applyFont="1" applyFill="1" applyBorder="1"/>
    <xf numFmtId="0" fontId="109" fillId="0" borderId="0" xfId="0" applyFont="1"/>
    <xf numFmtId="166" fontId="109" fillId="0" borderId="65" xfId="12" applyNumberFormat="1" applyFont="1" applyFill="1" applyBorder="1" applyAlignment="1"/>
    <xf numFmtId="166" fontId="109" fillId="0" borderId="0" xfId="12" applyNumberFormat="1" applyFont="1" applyFill="1" applyBorder="1" applyAlignment="1"/>
    <xf numFmtId="165" fontId="110" fillId="0" borderId="31" xfId="1" applyNumberFormat="1" applyFont="1" applyFill="1" applyBorder="1"/>
    <xf numFmtId="41" fontId="110" fillId="0" borderId="0" xfId="12" applyNumberFormat="1" applyFont="1" applyFill="1" applyBorder="1"/>
    <xf numFmtId="9" fontId="110" fillId="0" borderId="0" xfId="11" applyFont="1" applyFill="1" applyBorder="1"/>
    <xf numFmtId="166" fontId="109" fillId="0" borderId="65" xfId="12" applyNumberFormat="1" applyFont="1" applyFill="1" applyBorder="1"/>
    <xf numFmtId="0" fontId="0" fillId="0" borderId="20" xfId="0" applyBorder="1"/>
    <xf numFmtId="0" fontId="0" fillId="0" borderId="60" xfId="0" applyBorder="1"/>
    <xf numFmtId="0" fontId="7" fillId="0" borderId="21" xfId="0" applyFont="1" applyBorder="1" applyAlignment="1">
      <alignment horizontal="centerContinuous"/>
    </xf>
    <xf numFmtId="0" fontId="7" fillId="0" borderId="4" xfId="0" applyFont="1" applyBorder="1" applyAlignment="1">
      <alignment horizontal="centerContinuous"/>
    </xf>
    <xf numFmtId="0" fontId="7" fillId="0" borderId="31" xfId="0" applyFont="1" applyBorder="1" applyAlignment="1">
      <alignment horizontal="centerContinuous"/>
    </xf>
    <xf numFmtId="0" fontId="7" fillId="0" borderId="5" xfId="0" applyFont="1" applyBorder="1" applyAlignment="1">
      <alignment horizontal="centerContinuous"/>
    </xf>
    <xf numFmtId="0" fontId="7" fillId="0" borderId="22" xfId="0" applyFont="1" applyBorder="1" applyAlignment="1">
      <alignment horizontal="center"/>
    </xf>
    <xf numFmtId="0" fontId="7" fillId="0" borderId="5" xfId="0" applyFont="1" applyBorder="1" applyAlignment="1">
      <alignment horizontal="center"/>
    </xf>
    <xf numFmtId="0" fontId="0" fillId="0" borderId="21" xfId="0" applyBorder="1"/>
    <xf numFmtId="0" fontId="0" fillId="0" borderId="4" xfId="0" applyBorder="1"/>
    <xf numFmtId="0" fontId="111" fillId="0" borderId="0" xfId="0" applyFont="1"/>
    <xf numFmtId="42" fontId="0" fillId="0" borderId="21" xfId="0" applyNumberFormat="1" applyBorder="1"/>
    <xf numFmtId="42" fontId="0" fillId="0" borderId="4" xfId="0" applyNumberFormat="1" applyBorder="1"/>
    <xf numFmtId="42" fontId="0" fillId="0" borderId="20" xfId="0" applyNumberFormat="1" applyBorder="1"/>
    <xf numFmtId="42" fontId="0" fillId="0" borderId="60" xfId="0" applyNumberFormat="1" applyBorder="1"/>
    <xf numFmtId="42" fontId="0" fillId="29" borderId="20" xfId="0" applyNumberFormat="1" applyFill="1" applyBorder="1"/>
    <xf numFmtId="42" fontId="0" fillId="29" borderId="60" xfId="0" applyNumberFormat="1" applyFill="1" applyBorder="1"/>
    <xf numFmtId="42" fontId="0" fillId="29" borderId="21" xfId="0" applyNumberFormat="1" applyFill="1" applyBorder="1"/>
    <xf numFmtId="42" fontId="0" fillId="29" borderId="4" xfId="0" applyNumberFormat="1" applyFill="1" applyBorder="1"/>
    <xf numFmtId="42" fontId="0" fillId="29" borderId="22" xfId="0" applyNumberFormat="1" applyFill="1" applyBorder="1"/>
    <xf numFmtId="42" fontId="0" fillId="29" borderId="5" xfId="0" applyNumberFormat="1" applyFill="1" applyBorder="1"/>
    <xf numFmtId="42" fontId="0" fillId="0" borderId="58" xfId="0" applyNumberFormat="1" applyBorder="1"/>
    <xf numFmtId="42" fontId="0" fillId="0" borderId="64" xfId="0" applyNumberFormat="1" applyBorder="1"/>
    <xf numFmtId="0" fontId="112" fillId="0" borderId="0" xfId="0" applyFont="1" applyAlignment="1">
      <alignment horizontal="centerContinuous"/>
    </xf>
    <xf numFmtId="42" fontId="113" fillId="11" borderId="93" xfId="0" applyNumberFormat="1" applyFont="1" applyFill="1" applyBorder="1"/>
    <xf numFmtId="181" fontId="0" fillId="0" borderId="0" xfId="0" applyNumberFormat="1"/>
    <xf numFmtId="0" fontId="113" fillId="11" borderId="94" xfId="0" applyFont="1" applyFill="1" applyBorder="1" applyAlignment="1">
      <alignment horizontal="right"/>
    </xf>
    <xf numFmtId="42" fontId="0" fillId="0" borderId="66" xfId="0" applyNumberFormat="1" applyBorder="1"/>
    <xf numFmtId="41" fontId="0" fillId="0" borderId="65" xfId="0" applyNumberFormat="1" applyBorder="1"/>
    <xf numFmtId="42" fontId="0" fillId="0" borderId="53" xfId="0" applyNumberFormat="1" applyBorder="1"/>
    <xf numFmtId="188" fontId="0" fillId="0" borderId="0" xfId="0" applyNumberFormat="1"/>
    <xf numFmtId="172" fontId="0" fillId="0" borderId="0" xfId="0" applyNumberFormat="1"/>
    <xf numFmtId="165" fontId="2" fillId="17" borderId="0" xfId="0" applyNumberFormat="1" applyFont="1" applyFill="1"/>
    <xf numFmtId="166" fontId="0" fillId="30" borderId="0" xfId="0" applyNumberFormat="1" applyFill="1" applyAlignment="1">
      <alignment horizontal="left"/>
    </xf>
    <xf numFmtId="165" fontId="0" fillId="4" borderId="0" xfId="0" applyNumberFormat="1" applyFill="1" applyAlignment="1">
      <alignment horizontal="left"/>
    </xf>
    <xf numFmtId="165" fontId="0" fillId="30" borderId="0" xfId="0" applyNumberFormat="1" applyFill="1" applyAlignment="1">
      <alignment horizontal="left"/>
    </xf>
    <xf numFmtId="0" fontId="19" fillId="18" borderId="0" xfId="0" quotePrefix="1" applyFont="1" applyFill="1" applyAlignment="1">
      <alignment horizontal="left"/>
    </xf>
    <xf numFmtId="0" fontId="19" fillId="0" borderId="0" xfId="0" quotePrefix="1" applyFont="1" applyAlignment="1">
      <alignment horizontal="left"/>
    </xf>
    <xf numFmtId="165" fontId="19" fillId="30" borderId="0" xfId="0" applyNumberFormat="1" applyFont="1" applyFill="1" applyAlignment="1">
      <alignment horizontal="left"/>
    </xf>
    <xf numFmtId="166" fontId="7" fillId="0" borderId="43" xfId="0" applyNumberFormat="1" applyFont="1" applyBorder="1"/>
    <xf numFmtId="166" fontId="7" fillId="0" borderId="0" xfId="0" applyNumberFormat="1" applyFont="1"/>
    <xf numFmtId="0" fontId="114" fillId="0" borderId="0" xfId="0" applyFont="1" applyAlignment="1">
      <alignment horizontal="right"/>
    </xf>
    <xf numFmtId="165" fontId="0" fillId="11" borderId="0" xfId="0" applyNumberFormat="1" applyFill="1" applyAlignment="1">
      <alignment horizontal="left"/>
    </xf>
    <xf numFmtId="1" fontId="69" fillId="0" borderId="76" xfId="1" applyNumberFormat="1" applyFont="1" applyBorder="1"/>
    <xf numFmtId="0" fontId="0" fillId="17" borderId="0" xfId="0" applyFill="1" applyAlignment="1">
      <alignment horizontal="left"/>
    </xf>
    <xf numFmtId="0" fontId="0" fillId="17" borderId="0" xfId="0" quotePrefix="1" applyFill="1" applyAlignment="1">
      <alignment horizontal="left"/>
    </xf>
    <xf numFmtId="165" fontId="0" fillId="17" borderId="0" xfId="0" applyNumberFormat="1" applyFill="1" applyAlignment="1">
      <alignment horizontal="left"/>
    </xf>
    <xf numFmtId="0" fontId="28" fillId="0" borderId="0" xfId="0" applyFont="1" applyAlignment="1">
      <alignment horizontal="right"/>
    </xf>
    <xf numFmtId="41" fontId="28" fillId="0" borderId="0" xfId="0" applyNumberFormat="1" applyFont="1"/>
    <xf numFmtId="0" fontId="30" fillId="0" borderId="0" xfId="0" applyFont="1" applyAlignment="1">
      <alignment horizontal="center"/>
    </xf>
    <xf numFmtId="43" fontId="2" fillId="0" borderId="0" xfId="0" applyNumberFormat="1" applyFont="1" applyAlignment="1">
      <alignment horizontal="center"/>
    </xf>
    <xf numFmtId="3" fontId="8" fillId="0" borderId="0" xfId="0" applyNumberFormat="1" applyFont="1"/>
    <xf numFmtId="1" fontId="9" fillId="0" borderId="0" xfId="0" applyNumberFormat="1" applyFont="1"/>
    <xf numFmtId="0" fontId="14" fillId="3" borderId="0" xfId="0" applyFont="1" applyFill="1"/>
    <xf numFmtId="2" fontId="0" fillId="0" borderId="21" xfId="0" applyNumberFormat="1" applyBorder="1" applyAlignment="1">
      <alignment horizontal="center"/>
    </xf>
    <xf numFmtId="165" fontId="0" fillId="0" borderId="21" xfId="0" applyNumberFormat="1" applyBorder="1"/>
    <xf numFmtId="0" fontId="9" fillId="0" borderId="0" xfId="0" applyFont="1" applyAlignment="1">
      <alignment horizontal="right"/>
    </xf>
    <xf numFmtId="0" fontId="7" fillId="0" borderId="20" xfId="0" applyFont="1" applyBorder="1" applyAlignment="1">
      <alignment horizontal="centerContinuous"/>
    </xf>
    <xf numFmtId="166" fontId="0" fillId="0" borderId="21" xfId="0" applyNumberFormat="1" applyBorder="1"/>
    <xf numFmtId="165" fontId="0" fillId="0" borderId="4" xfId="0" applyNumberFormat="1" applyBorder="1"/>
    <xf numFmtId="166" fontId="0" fillId="0" borderId="20" xfId="0" applyNumberFormat="1" applyBorder="1"/>
    <xf numFmtId="165" fontId="0" fillId="0" borderId="22" xfId="0" applyNumberFormat="1" applyBorder="1"/>
    <xf numFmtId="166" fontId="0" fillId="0" borderId="95" xfId="0" applyNumberFormat="1" applyBorder="1"/>
    <xf numFmtId="0" fontId="0" fillId="0" borderId="22" xfId="0" applyBorder="1"/>
    <xf numFmtId="0" fontId="7" fillId="0" borderId="60" xfId="0" applyFont="1" applyBorder="1" applyAlignment="1">
      <alignment horizontal="centerContinuous"/>
    </xf>
    <xf numFmtId="166" fontId="0" fillId="0" borderId="4" xfId="0" applyNumberFormat="1" applyBorder="1"/>
    <xf numFmtId="166" fontId="0" fillId="0" borderId="60" xfId="0" applyNumberFormat="1" applyBorder="1"/>
    <xf numFmtId="166" fontId="0" fillId="0" borderId="96" xfId="0" applyNumberFormat="1" applyBorder="1"/>
    <xf numFmtId="0" fontId="7" fillId="0" borderId="20" xfId="0" applyFont="1" applyBorder="1"/>
    <xf numFmtId="0" fontId="7" fillId="0" borderId="66" xfId="0" applyFont="1" applyBorder="1" applyAlignment="1">
      <alignment horizontal="centerContinuous"/>
    </xf>
    <xf numFmtId="165" fontId="0" fillId="0" borderId="5" xfId="0" applyNumberFormat="1" applyBorder="1"/>
    <xf numFmtId="0" fontId="0" fillId="0" borderId="5" xfId="0" applyBorder="1"/>
    <xf numFmtId="42" fontId="6" fillId="0" borderId="43" xfId="0" applyNumberFormat="1" applyFont="1" applyBorder="1"/>
    <xf numFmtId="165" fontId="6" fillId="0" borderId="65" xfId="0" applyNumberFormat="1" applyFont="1" applyBorder="1"/>
    <xf numFmtId="41" fontId="6" fillId="0" borderId="65" xfId="0" applyNumberFormat="1" applyFont="1" applyBorder="1"/>
    <xf numFmtId="44" fontId="2" fillId="0" borderId="0" xfId="0" applyNumberFormat="1" applyFont="1"/>
    <xf numFmtId="165" fontId="62" fillId="0" borderId="0" xfId="0" applyNumberFormat="1" applyFont="1"/>
    <xf numFmtId="166" fontId="0" fillId="0" borderId="0" xfId="12" applyNumberFormat="1" applyFont="1" applyAlignment="1">
      <alignment horizontal="center"/>
    </xf>
    <xf numFmtId="168" fontId="8" fillId="0" borderId="0" xfId="0" applyNumberFormat="1" applyFont="1" applyAlignment="1">
      <alignment horizontal="left"/>
    </xf>
    <xf numFmtId="9" fontId="8" fillId="0" borderId="0" xfId="11" applyFont="1" applyFill="1" applyBorder="1"/>
    <xf numFmtId="42" fontId="8" fillId="0" borderId="0" xfId="0" applyNumberFormat="1" applyFont="1"/>
    <xf numFmtId="42" fontId="106" fillId="0" borderId="0" xfId="0" applyNumberFormat="1" applyFont="1"/>
    <xf numFmtId="0" fontId="6" fillId="0" borderId="0" xfId="0" applyFont="1" applyAlignment="1">
      <alignment horizontal="left" indent="7"/>
    </xf>
    <xf numFmtId="165" fontId="0" fillId="0" borderId="0" xfId="12" applyNumberFormat="1" applyFont="1" applyFill="1"/>
    <xf numFmtId="44" fontId="0" fillId="0" borderId="0" xfId="12" applyFont="1" applyFill="1"/>
    <xf numFmtId="0" fontId="69" fillId="0" borderId="70" xfId="0" applyFont="1" applyBorder="1" applyAlignment="1">
      <alignment horizontal="right"/>
    </xf>
    <xf numFmtId="37" fontId="114" fillId="0" borderId="0" xfId="0" applyNumberFormat="1" applyFont="1" applyAlignment="1">
      <alignment horizontal="center"/>
    </xf>
    <xf numFmtId="165" fontId="7" fillId="0" borderId="66" xfId="0" applyNumberFormat="1" applyFont="1" applyBorder="1" applyAlignment="1">
      <alignment horizontal="left"/>
    </xf>
    <xf numFmtId="0" fontId="2" fillId="0" borderId="0" xfId="0" applyFont="1" applyAlignment="1">
      <alignment horizontal="left" indent="6"/>
    </xf>
    <xf numFmtId="0" fontId="115" fillId="0" borderId="0" xfId="0" applyFont="1" applyAlignment="1">
      <alignment horizontal="right"/>
    </xf>
    <xf numFmtId="3" fontId="115" fillId="0" borderId="0" xfId="0" applyNumberFormat="1" applyFont="1"/>
    <xf numFmtId="0" fontId="116" fillId="0" borderId="0" xfId="0" applyFont="1"/>
    <xf numFmtId="0" fontId="115" fillId="0" borderId="0" xfId="0" applyFont="1"/>
    <xf numFmtId="43" fontId="2" fillId="0" borderId="0" xfId="1" applyFont="1"/>
    <xf numFmtId="0" fontId="3" fillId="0" borderId="98" xfId="0" applyFont="1" applyBorder="1" applyAlignment="1">
      <alignment horizontal="center"/>
    </xf>
    <xf numFmtId="0" fontId="3" fillId="0" borderId="99" xfId="0" applyFont="1" applyBorder="1" applyAlignment="1">
      <alignment horizontal="center"/>
    </xf>
    <xf numFmtId="0" fontId="3" fillId="2" borderId="56" xfId="0" applyFont="1" applyFill="1" applyBorder="1" applyAlignment="1">
      <alignment horizontal="center"/>
    </xf>
    <xf numFmtId="0" fontId="3" fillId="2" borderId="41" xfId="0" applyFont="1" applyFill="1" applyBorder="1" applyAlignment="1">
      <alignment horizontal="center"/>
    </xf>
    <xf numFmtId="0" fontId="3" fillId="2" borderId="42" xfId="0" applyFont="1" applyFill="1" applyBorder="1" applyAlignment="1">
      <alignment horizontal="center"/>
    </xf>
    <xf numFmtId="0" fontId="8" fillId="0" borderId="0" xfId="0" applyFont="1" applyAlignment="1">
      <alignment horizontal="right"/>
    </xf>
    <xf numFmtId="41" fontId="22" fillId="0" borderId="0" xfId="0" applyNumberFormat="1" applyFont="1"/>
    <xf numFmtId="37" fontId="117" fillId="0" borderId="0" xfId="0" applyNumberFormat="1" applyFont="1" applyAlignment="1">
      <alignment horizontal="left" indent="2"/>
    </xf>
    <xf numFmtId="37" fontId="2" fillId="0" borderId="0" xfId="0" applyNumberFormat="1" applyFont="1" applyAlignment="1">
      <alignment horizontal="left" indent="7"/>
    </xf>
    <xf numFmtId="0" fontId="11" fillId="0" borderId="0" xfId="0" applyFont="1" applyAlignment="1">
      <alignment horizontal="left"/>
    </xf>
    <xf numFmtId="165" fontId="11" fillId="10" borderId="0" xfId="0" applyNumberFormat="1" applyFont="1" applyFill="1" applyAlignment="1">
      <alignment horizontal="centerContinuous"/>
    </xf>
    <xf numFmtId="165" fontId="11" fillId="0" borderId="0" xfId="0" applyNumberFormat="1" applyFont="1"/>
    <xf numFmtId="0" fontId="11" fillId="0" borderId="65" xfId="0" applyFont="1" applyBorder="1" applyAlignment="1">
      <alignment horizontal="left"/>
    </xf>
    <xf numFmtId="37" fontId="118" fillId="0" borderId="0" xfId="0" applyNumberFormat="1" applyFont="1" applyAlignment="1">
      <alignment horizontal="left" indent="2"/>
    </xf>
    <xf numFmtId="41" fontId="11" fillId="0" borderId="53" xfId="0" applyNumberFormat="1" applyFont="1" applyBorder="1"/>
    <xf numFmtId="165" fontId="11" fillId="0" borderId="53" xfId="0" applyNumberFormat="1" applyFont="1" applyBorder="1"/>
    <xf numFmtId="0" fontId="2" fillId="0" borderId="66" xfId="0" applyFont="1" applyBorder="1" applyAlignment="1">
      <alignment horizontal="center"/>
    </xf>
    <xf numFmtId="0" fontId="119" fillId="0" borderId="0" xfId="0" applyFont="1"/>
    <xf numFmtId="43" fontId="119" fillId="0" borderId="0" xfId="0" applyNumberFormat="1" applyFont="1"/>
    <xf numFmtId="0" fontId="119" fillId="6" borderId="0" xfId="0" applyFont="1" applyFill="1"/>
    <xf numFmtId="0" fontId="119" fillId="0" borderId="0" xfId="0" applyFont="1" applyAlignment="1">
      <alignment horizontal="right"/>
    </xf>
    <xf numFmtId="0" fontId="119" fillId="5" borderId="0" xfId="0" applyFont="1" applyFill="1"/>
    <xf numFmtId="0" fontId="119" fillId="7" borderId="0" xfId="0" applyFont="1" applyFill="1"/>
    <xf numFmtId="0" fontId="3" fillId="11" borderId="58" xfId="0" applyFont="1" applyFill="1" applyBorder="1" applyAlignment="1">
      <alignment horizontal="centerContinuous"/>
    </xf>
    <xf numFmtId="0" fontId="2" fillId="11" borderId="65" xfId="0" applyFont="1" applyFill="1" applyBorder="1" applyAlignment="1">
      <alignment horizontal="centerContinuous"/>
    </xf>
    <xf numFmtId="0" fontId="2" fillId="2" borderId="65" xfId="0" applyFont="1" applyFill="1" applyBorder="1" applyAlignment="1">
      <alignment horizontal="centerContinuous"/>
    </xf>
    <xf numFmtId="0" fontId="2" fillId="2" borderId="56" xfId="0" applyFont="1" applyFill="1" applyBorder="1"/>
    <xf numFmtId="17" fontId="3" fillId="0" borderId="97" xfId="0" applyNumberFormat="1" applyFont="1" applyBorder="1" applyAlignment="1">
      <alignment horizontal="center"/>
    </xf>
    <xf numFmtId="0" fontId="2" fillId="2" borderId="64" xfId="0" applyFont="1" applyFill="1" applyBorder="1" applyAlignment="1">
      <alignment horizontal="centerContinuous"/>
    </xf>
    <xf numFmtId="0" fontId="6" fillId="0" borderId="0" xfId="0" applyFont="1" applyAlignment="1">
      <alignment horizontal="centerContinuous"/>
    </xf>
    <xf numFmtId="0" fontId="31" fillId="0" borderId="0" xfId="0" applyFont="1" applyAlignment="1">
      <alignment horizontal="centerContinuous"/>
    </xf>
    <xf numFmtId="43" fontId="0" fillId="0" borderId="0" xfId="0" applyNumberFormat="1" applyAlignment="1">
      <alignment horizontal="right"/>
    </xf>
    <xf numFmtId="0" fontId="2" fillId="0" borderId="98" xfId="0" applyFont="1" applyBorder="1"/>
    <xf numFmtId="0" fontId="2" fillId="0" borderId="98" xfId="0" quotePrefix="1" applyFont="1" applyBorder="1" applyAlignment="1">
      <alignment horizontal="center"/>
    </xf>
    <xf numFmtId="0" fontId="2" fillId="0" borderId="0" xfId="0" quotePrefix="1" applyFont="1" applyAlignment="1">
      <alignment horizontal="center"/>
    </xf>
    <xf numFmtId="0" fontId="2" fillId="0" borderId="0" xfId="0" quotePrefix="1" applyFont="1" applyAlignment="1">
      <alignment horizontal="right"/>
    </xf>
    <xf numFmtId="0" fontId="2" fillId="2" borderId="42" xfId="0" applyFont="1" applyFill="1" applyBorder="1"/>
    <xf numFmtId="42" fontId="6" fillId="2" borderId="41" xfId="0" applyNumberFormat="1" applyFont="1" applyFill="1" applyBorder="1" applyProtection="1">
      <protection locked="0"/>
    </xf>
    <xf numFmtId="41" fontId="6" fillId="2" borderId="41" xfId="0" applyNumberFormat="1" applyFont="1" applyFill="1" applyBorder="1" applyProtection="1">
      <protection locked="0"/>
    </xf>
    <xf numFmtId="41" fontId="6" fillId="2" borderId="56" xfId="0" applyNumberFormat="1" applyFont="1" applyFill="1" applyBorder="1" applyProtection="1">
      <protection locked="0"/>
    </xf>
    <xf numFmtId="42" fontId="6" fillId="2" borderId="56" xfId="0" applyNumberFormat="1" applyFont="1" applyFill="1" applyBorder="1" applyProtection="1">
      <protection locked="0"/>
    </xf>
    <xf numFmtId="42" fontId="2" fillId="2" borderId="51" xfId="0" applyNumberFormat="1" applyFont="1" applyFill="1" applyBorder="1" applyProtection="1">
      <protection locked="0"/>
    </xf>
    <xf numFmtId="0" fontId="3" fillId="0" borderId="97" xfId="0" applyFont="1" applyBorder="1" applyAlignment="1">
      <alignment horizontal="center"/>
    </xf>
    <xf numFmtId="0" fontId="2" fillId="0" borderId="98" xfId="0" applyFont="1" applyBorder="1" applyAlignment="1">
      <alignment horizontal="center"/>
    </xf>
    <xf numFmtId="166" fontId="2" fillId="0" borderId="98" xfId="0" applyNumberFormat="1" applyFont="1" applyBorder="1"/>
    <xf numFmtId="165" fontId="2" fillId="0" borderId="98" xfId="0" applyNumberFormat="1" applyFont="1" applyBorder="1"/>
    <xf numFmtId="42" fontId="2" fillId="0" borderId="97" xfId="0" applyNumberFormat="1" applyFont="1" applyBorder="1"/>
    <xf numFmtId="165" fontId="2" fillId="0" borderId="97" xfId="0" applyNumberFormat="1" applyFont="1" applyBorder="1" applyProtection="1">
      <protection locked="0"/>
    </xf>
    <xf numFmtId="165" fontId="2" fillId="0" borderId="98" xfId="0" applyNumberFormat="1" applyFont="1" applyBorder="1" applyProtection="1">
      <protection locked="0"/>
    </xf>
    <xf numFmtId="41" fontId="2" fillId="0" borderId="100" xfId="0" applyNumberFormat="1" applyFont="1" applyBorder="1" applyProtection="1">
      <protection locked="0"/>
    </xf>
    <xf numFmtId="0" fontId="2" fillId="0" borderId="97" xfId="0" applyFont="1" applyBorder="1"/>
    <xf numFmtId="42" fontId="2" fillId="0" borderId="101" xfId="0" applyNumberFormat="1" applyFont="1" applyBorder="1" applyProtection="1">
      <protection locked="0"/>
    </xf>
    <xf numFmtId="10" fontId="2" fillId="0" borderId="98" xfId="0" applyNumberFormat="1" applyFont="1" applyBorder="1"/>
    <xf numFmtId="42" fontId="2" fillId="0" borderId="98" xfId="0" applyNumberFormat="1" applyFont="1" applyBorder="1"/>
    <xf numFmtId="10" fontId="2" fillId="2" borderId="98" xfId="0" applyNumberFormat="1" applyFont="1" applyFill="1" applyBorder="1"/>
    <xf numFmtId="164" fontId="2" fillId="0" borderId="98" xfId="0" applyNumberFormat="1" applyFont="1" applyBorder="1"/>
    <xf numFmtId="0" fontId="2" fillId="0" borderId="98" xfId="0" applyFont="1" applyBorder="1" applyAlignment="1">
      <alignment horizontal="left" indent="1"/>
    </xf>
    <xf numFmtId="41" fontId="2" fillId="0" borderId="98" xfId="0" applyNumberFormat="1" applyFont="1" applyBorder="1" applyAlignment="1">
      <alignment horizontal="left" indent="1"/>
    </xf>
    <xf numFmtId="0" fontId="2" fillId="2" borderId="41" xfId="0" applyFont="1" applyFill="1" applyBorder="1" applyAlignment="1">
      <alignment horizontal="center"/>
    </xf>
    <xf numFmtId="166" fontId="2" fillId="2" borderId="41" xfId="0" applyNumberFormat="1" applyFont="1" applyFill="1" applyBorder="1"/>
    <xf numFmtId="42" fontId="2" fillId="2" borderId="56" xfId="0" applyNumberFormat="1" applyFont="1" applyFill="1" applyBorder="1"/>
    <xf numFmtId="165" fontId="2" fillId="2" borderId="56" xfId="0" applyNumberFormat="1" applyFont="1" applyFill="1" applyBorder="1" applyProtection="1">
      <protection locked="0"/>
    </xf>
    <xf numFmtId="165" fontId="2" fillId="2" borderId="41" xfId="0" applyNumberFormat="1" applyFont="1" applyFill="1" applyBorder="1" applyProtection="1">
      <protection locked="0"/>
    </xf>
    <xf numFmtId="41" fontId="2" fillId="2" borderId="50" xfId="0" applyNumberFormat="1" applyFont="1" applyFill="1" applyBorder="1" applyProtection="1">
      <protection locked="0"/>
    </xf>
    <xf numFmtId="41" fontId="2" fillId="2" borderId="56" xfId="0" applyNumberFormat="1" applyFont="1" applyFill="1" applyBorder="1"/>
    <xf numFmtId="10" fontId="3" fillId="2" borderId="41" xfId="0" applyNumberFormat="1" applyFont="1" applyFill="1" applyBorder="1"/>
    <xf numFmtId="42" fontId="2" fillId="2" borderId="41" xfId="0" applyNumberFormat="1" applyFont="1" applyFill="1" applyBorder="1"/>
    <xf numFmtId="41" fontId="2" fillId="2" borderId="41" xfId="0" applyNumberFormat="1" applyFont="1" applyFill="1" applyBorder="1" applyProtection="1">
      <protection locked="0"/>
    </xf>
    <xf numFmtId="10" fontId="2" fillId="2" borderId="41" xfId="0" applyNumberFormat="1" applyFont="1" applyFill="1" applyBorder="1"/>
    <xf numFmtId="164" fontId="2" fillId="2" borderId="41" xfId="0" applyNumberFormat="1" applyFont="1" applyFill="1" applyBorder="1"/>
    <xf numFmtId="10" fontId="115" fillId="0" borderId="0" xfId="11" applyNumberFormat="1" applyFont="1" applyFill="1"/>
    <xf numFmtId="0" fontId="115" fillId="0" borderId="0" xfId="0" applyFont="1" applyAlignment="1">
      <alignment horizontal="left"/>
    </xf>
    <xf numFmtId="42" fontId="31" fillId="0" borderId="43" xfId="0" applyNumberFormat="1" applyFont="1" applyBorder="1"/>
    <xf numFmtId="0" fontId="120" fillId="0" borderId="0" xfId="0" applyFont="1"/>
    <xf numFmtId="41" fontId="6" fillId="0" borderId="0" xfId="0" applyNumberFormat="1" applyFont="1" applyAlignment="1">
      <alignment vertical="center"/>
    </xf>
    <xf numFmtId="42" fontId="6" fillId="0" borderId="0" xfId="0" applyNumberFormat="1" applyFont="1" applyAlignment="1">
      <alignment horizontal="right"/>
    </xf>
    <xf numFmtId="41" fontId="6" fillId="0" borderId="0" xfId="0" applyNumberFormat="1" applyFont="1" applyProtection="1">
      <protection locked="0"/>
    </xf>
    <xf numFmtId="41" fontId="6" fillId="0" borderId="0" xfId="0" applyNumberFormat="1" applyFont="1" applyAlignment="1">
      <alignment horizontal="center" vertical="center"/>
    </xf>
    <xf numFmtId="41" fontId="6" fillId="0" borderId="0" xfId="0" applyNumberFormat="1" applyFont="1" applyAlignment="1">
      <alignment horizontal="right"/>
    </xf>
    <xf numFmtId="41" fontId="99" fillId="0" borderId="0" xfId="0" applyNumberFormat="1" applyFont="1" applyAlignment="1">
      <alignment vertical="center"/>
    </xf>
    <xf numFmtId="41" fontId="99" fillId="0" borderId="0" xfId="0" applyNumberFormat="1" applyFont="1" applyAlignment="1">
      <alignment horizontal="right"/>
    </xf>
    <xf numFmtId="165" fontId="6" fillId="0" borderId="0" xfId="1" applyNumberFormat="1" applyFont="1" applyFill="1" applyBorder="1" applyAlignment="1">
      <alignment horizontal="center" vertical="center"/>
    </xf>
    <xf numFmtId="165" fontId="6" fillId="0" borderId="0" xfId="1" applyNumberFormat="1" applyFont="1" applyFill="1" applyBorder="1" applyAlignment="1">
      <alignment horizontal="right"/>
    </xf>
    <xf numFmtId="41" fontId="6" fillId="0" borderId="31" xfId="0" applyNumberFormat="1" applyFont="1" applyBorder="1" applyAlignment="1">
      <alignment vertical="center"/>
    </xf>
    <xf numFmtId="180" fontId="2" fillId="0" borderId="0" xfId="0" applyNumberFormat="1" applyFont="1" applyAlignment="1">
      <alignment horizontal="left" wrapText="1"/>
    </xf>
    <xf numFmtId="180" fontId="2" fillId="0" borderId="31" xfId="0" applyNumberFormat="1" applyFont="1" applyBorder="1" applyAlignment="1">
      <alignment horizontal="left" wrapText="1"/>
    </xf>
    <xf numFmtId="165" fontId="2" fillId="0" borderId="31" xfId="1" applyNumberFormat="1" applyFont="1" applyFill="1" applyBorder="1" applyAlignment="1">
      <alignment horizontal="right"/>
    </xf>
    <xf numFmtId="0" fontId="121" fillId="0" borderId="60" xfId="0" applyFont="1" applyBorder="1"/>
    <xf numFmtId="0" fontId="121" fillId="0" borderId="4" xfId="0" applyFont="1" applyBorder="1"/>
    <xf numFmtId="0" fontId="122" fillId="0" borderId="4" xfId="0" applyFont="1" applyBorder="1"/>
    <xf numFmtId="0" fontId="122" fillId="0" borderId="5" xfId="0" applyFont="1" applyBorder="1"/>
    <xf numFmtId="10" fontId="121" fillId="0" borderId="20" xfId="11" applyNumberFormat="1" applyFont="1" applyFill="1" applyBorder="1"/>
    <xf numFmtId="41" fontId="121" fillId="0" borderId="21" xfId="0" applyNumberFormat="1" applyFont="1" applyBorder="1"/>
    <xf numFmtId="41" fontId="121" fillId="0" borderId="22" xfId="0" applyNumberFormat="1" applyFont="1" applyBorder="1"/>
    <xf numFmtId="0" fontId="0" fillId="0" borderId="64" xfId="0" applyBorder="1"/>
    <xf numFmtId="166" fontId="123" fillId="0" borderId="58" xfId="0" applyNumberFormat="1" applyFont="1" applyBorder="1"/>
    <xf numFmtId="189" fontId="121" fillId="0" borderId="21" xfId="0" applyNumberFormat="1" applyFont="1" applyBorder="1"/>
    <xf numFmtId="166" fontId="72" fillId="0" borderId="0" xfId="12" applyNumberFormat="1" applyFont="1" applyFill="1" applyBorder="1"/>
    <xf numFmtId="165" fontId="19" fillId="0" borderId="0" xfId="1" applyNumberFormat="1" applyFont="1" applyFill="1" applyBorder="1"/>
    <xf numFmtId="165" fontId="19" fillId="0" borderId="31" xfId="1" applyNumberFormat="1" applyFont="1" applyFill="1" applyBorder="1"/>
    <xf numFmtId="0" fontId="124" fillId="0" borderId="82" xfId="13" quotePrefix="1" applyNumberFormat="1" applyFont="1" applyFill="1" applyAlignment="1"/>
    <xf numFmtId="0" fontId="125" fillId="0" borderId="82" xfId="14" quotePrefix="1" applyNumberFormat="1" applyFont="1" applyFill="1" applyAlignment="1"/>
    <xf numFmtId="165" fontId="19" fillId="0" borderId="0" xfId="1" applyNumberFormat="1" applyFont="1" applyFill="1"/>
    <xf numFmtId="0" fontId="124" fillId="0" borderId="82" xfId="13" applyNumberFormat="1" applyFont="1" applyFill="1" applyAlignment="1"/>
    <xf numFmtId="0" fontId="125" fillId="0" borderId="82" xfId="14" quotePrefix="1" applyNumberFormat="1" applyFont="1" applyFill="1" applyAlignment="1">
      <alignment horizontal="right"/>
    </xf>
    <xf numFmtId="0" fontId="72" fillId="0" borderId="0" xfId="0" applyFont="1"/>
    <xf numFmtId="165" fontId="72" fillId="0" borderId="0" xfId="1" applyNumberFormat="1" applyFont="1" applyFill="1"/>
    <xf numFmtId="187" fontId="125" fillId="0" borderId="83" xfId="15" applyNumberFormat="1" applyFont="1">
      <alignment horizontal="right" vertical="center"/>
    </xf>
    <xf numFmtId="187" fontId="125" fillId="0" borderId="84" xfId="15" applyNumberFormat="1" applyFont="1" applyBorder="1">
      <alignment horizontal="right" vertical="center"/>
    </xf>
    <xf numFmtId="165" fontId="19" fillId="0" borderId="63" xfId="1" applyNumberFormat="1" applyFont="1" applyFill="1" applyBorder="1"/>
    <xf numFmtId="0" fontId="125" fillId="0" borderId="82" xfId="14" applyNumberFormat="1" applyFont="1" applyFill="1" applyAlignment="1"/>
    <xf numFmtId="0" fontId="124" fillId="0" borderId="86" xfId="16" quotePrefix="1" applyNumberFormat="1" applyFont="1" applyFill="1" applyBorder="1" applyAlignment="1"/>
    <xf numFmtId="187" fontId="124" fillId="0" borderId="87" xfId="17" applyNumberFormat="1" applyFont="1" applyBorder="1">
      <alignment horizontal="right" vertical="center"/>
    </xf>
    <xf numFmtId="187" fontId="124" fillId="0" borderId="86" xfId="17" applyNumberFormat="1" applyFont="1" applyBorder="1">
      <alignment horizontal="right" vertical="center"/>
    </xf>
    <xf numFmtId="165" fontId="72" fillId="0" borderId="63" xfId="1" applyNumberFormat="1" applyFont="1" applyFill="1" applyBorder="1"/>
    <xf numFmtId="0" fontId="126" fillId="0" borderId="0" xfId="0" applyFont="1"/>
    <xf numFmtId="41" fontId="127" fillId="0" borderId="0" xfId="0" applyNumberFormat="1" applyFont="1"/>
    <xf numFmtId="0" fontId="127" fillId="0" borderId="0" xfId="0" applyFont="1"/>
    <xf numFmtId="165" fontId="127" fillId="0" borderId="0" xfId="1" applyNumberFormat="1" applyFont="1" applyFill="1"/>
    <xf numFmtId="0" fontId="61" fillId="0" borderId="0" xfId="0" applyFont="1" applyAlignment="1">
      <alignment horizontal="center"/>
    </xf>
    <xf numFmtId="166" fontId="72" fillId="0" borderId="0" xfId="0" applyNumberFormat="1" applyFont="1"/>
    <xf numFmtId="0" fontId="19" fillId="0" borderId="31" xfId="0" applyFont="1" applyBorder="1"/>
    <xf numFmtId="0" fontId="72" fillId="0" borderId="31" xfId="0" applyFont="1" applyBorder="1"/>
    <xf numFmtId="165" fontId="126" fillId="0" borderId="0" xfId="1" applyNumberFormat="1" applyFont="1" applyFill="1"/>
    <xf numFmtId="166" fontId="19" fillId="0" borderId="0" xfId="0" applyNumberFormat="1" applyFont="1"/>
    <xf numFmtId="166" fontId="128" fillId="0" borderId="30" xfId="12" applyNumberFormat="1" applyFont="1" applyFill="1" applyBorder="1"/>
    <xf numFmtId="166" fontId="128" fillId="0" borderId="0" xfId="12" applyNumberFormat="1" applyFont="1" applyFill="1"/>
    <xf numFmtId="43" fontId="19" fillId="0" borderId="0" xfId="0" applyNumberFormat="1" applyFont="1"/>
    <xf numFmtId="0" fontId="72" fillId="0" borderId="31" xfId="0" applyFont="1" applyBorder="1" applyAlignment="1">
      <alignment horizontal="center"/>
    </xf>
    <xf numFmtId="44" fontId="19" fillId="0" borderId="0" xfId="0" applyNumberFormat="1" applyFont="1"/>
    <xf numFmtId="0" fontId="19" fillId="0" borderId="0" xfId="0" applyFont="1" applyAlignment="1">
      <alignment horizontal="left" indent="1"/>
    </xf>
    <xf numFmtId="43" fontId="19" fillId="0" borderId="66" xfId="0" applyNumberFormat="1" applyFont="1" applyBorder="1"/>
    <xf numFmtId="43" fontId="19" fillId="0" borderId="31" xfId="0" applyNumberFormat="1" applyFont="1" applyBorder="1"/>
    <xf numFmtId="44" fontId="19" fillId="0" borderId="53" xfId="0" applyNumberFormat="1" applyFont="1" applyBorder="1"/>
    <xf numFmtId="37" fontId="19" fillId="0" borderId="0" xfId="0" applyNumberFormat="1" applyFont="1"/>
    <xf numFmtId="0" fontId="129" fillId="0" borderId="0" xfId="0" applyFont="1" applyAlignment="1">
      <alignment horizontal="center"/>
    </xf>
    <xf numFmtId="0" fontId="129" fillId="0" borderId="0" xfId="0" applyFont="1"/>
    <xf numFmtId="166" fontId="130" fillId="0" borderId="0" xfId="0" applyNumberFormat="1" applyFont="1"/>
    <xf numFmtId="0" fontId="131" fillId="0" borderId="0" xfId="0" applyFont="1"/>
    <xf numFmtId="0" fontId="131" fillId="0" borderId="0" xfId="0" applyFont="1" applyAlignment="1">
      <alignment horizontal="center"/>
    </xf>
    <xf numFmtId="41" fontId="17" fillId="0" borderId="0" xfId="0" applyNumberFormat="1" applyFont="1" applyAlignment="1">
      <alignment horizontal="left" indent="2"/>
    </xf>
    <xf numFmtId="41" fontId="101" fillId="0" borderId="0" xfId="0" applyNumberFormat="1" applyFont="1" applyAlignment="1">
      <alignment horizontal="left" indent="2"/>
    </xf>
    <xf numFmtId="165" fontId="28" fillId="0" borderId="0" xfId="1" applyNumberFormat="1" applyFont="1" applyFill="1"/>
    <xf numFmtId="0" fontId="102" fillId="0" borderId="0" xfId="0" applyFont="1"/>
    <xf numFmtId="0" fontId="103" fillId="0" borderId="0" xfId="0" applyFont="1" applyAlignment="1">
      <alignment horizontal="left" indent="2"/>
    </xf>
    <xf numFmtId="166" fontId="104" fillId="0" borderId="0" xfId="0" applyNumberFormat="1" applyFont="1"/>
    <xf numFmtId="41" fontId="104" fillId="0" borderId="0" xfId="0" applyNumberFormat="1" applyFont="1"/>
    <xf numFmtId="0" fontId="104" fillId="0" borderId="0" xfId="0" applyFont="1"/>
    <xf numFmtId="0" fontId="82" fillId="0" borderId="63" xfId="0" applyFont="1" applyBorder="1" applyAlignment="1">
      <alignment horizontal="left"/>
    </xf>
    <xf numFmtId="166" fontId="82" fillId="0" borderId="63" xfId="12" applyNumberFormat="1" applyFont="1" applyFill="1" applyBorder="1" applyAlignment="1">
      <alignment horizontal="left"/>
    </xf>
    <xf numFmtId="166" fontId="82" fillId="0" borderId="63" xfId="12" applyNumberFormat="1" applyFont="1" applyFill="1" applyBorder="1" applyAlignment="1">
      <alignment horizontal="center"/>
    </xf>
    <xf numFmtId="0" fontId="4" fillId="0" borderId="58" xfId="0" applyFont="1" applyBorder="1" applyAlignment="1">
      <alignment horizontal="centerContinuous"/>
    </xf>
    <xf numFmtId="0" fontId="4" fillId="0" borderId="64" xfId="0" applyFont="1" applyBorder="1" applyAlignment="1">
      <alignment horizontal="centerContinuous"/>
    </xf>
    <xf numFmtId="0" fontId="7" fillId="0" borderId="21" xfId="0" applyFont="1" applyBorder="1" applyAlignment="1">
      <alignment horizontal="center" wrapText="1"/>
    </xf>
    <xf numFmtId="0" fontId="7" fillId="0" borderId="4" xfId="0" applyFont="1" applyBorder="1" applyAlignment="1">
      <alignment horizontal="center" wrapText="1"/>
    </xf>
    <xf numFmtId="0" fontId="7" fillId="0" borderId="0" xfId="0" applyFont="1" applyAlignment="1">
      <alignment horizontal="center" wrapText="1"/>
    </xf>
    <xf numFmtId="0" fontId="0" fillId="0" borderId="102" xfId="0" applyBorder="1"/>
    <xf numFmtId="2" fontId="0" fillId="0" borderId="21" xfId="0" applyNumberFormat="1" applyBorder="1"/>
    <xf numFmtId="41" fontId="28" fillId="0" borderId="31" xfId="0" applyNumberFormat="1" applyFont="1" applyBorder="1"/>
    <xf numFmtId="0" fontId="0" fillId="0" borderId="0" xfId="0" quotePrefix="1" applyAlignment="1">
      <alignment horizontal="right"/>
    </xf>
    <xf numFmtId="0" fontId="4" fillId="20" borderId="0" xfId="0" applyFont="1" applyFill="1" applyAlignment="1">
      <alignment horizontal="center" vertical="center" wrapText="1"/>
    </xf>
    <xf numFmtId="17" fontId="14" fillId="20" borderId="0" xfId="0" applyNumberFormat="1" applyFont="1" applyFill="1" applyAlignment="1">
      <alignment horizontal="center"/>
    </xf>
    <xf numFmtId="0" fontId="14" fillId="20" borderId="0" xfId="0" applyFont="1" applyFill="1"/>
    <xf numFmtId="0" fontId="14" fillId="31" borderId="0" xfId="0" applyFont="1" applyFill="1" applyAlignment="1">
      <alignment horizontal="center"/>
    </xf>
    <xf numFmtId="0" fontId="14" fillId="31" borderId="0" xfId="0" applyFont="1" applyFill="1"/>
    <xf numFmtId="165" fontId="0" fillId="18" borderId="0" xfId="0" applyNumberFormat="1" applyFill="1" applyAlignment="1">
      <alignment horizontal="left"/>
    </xf>
    <xf numFmtId="0" fontId="2" fillId="0" borderId="21" xfId="0" applyFont="1" applyBorder="1" applyAlignment="1">
      <alignment horizontal="right"/>
    </xf>
    <xf numFmtId="10" fontId="2" fillId="31" borderId="4" xfId="0" applyNumberFormat="1" applyFont="1" applyFill="1" applyBorder="1"/>
    <xf numFmtId="10" fontId="3" fillId="31" borderId="60" xfId="0" applyNumberFormat="1" applyFont="1" applyFill="1" applyBorder="1"/>
    <xf numFmtId="10" fontId="2" fillId="31" borderId="64" xfId="0" applyNumberFormat="1" applyFont="1" applyFill="1" applyBorder="1"/>
    <xf numFmtId="41" fontId="132" fillId="0" borderId="0" xfId="0" applyNumberFormat="1" applyFont="1"/>
    <xf numFmtId="0" fontId="46" fillId="31" borderId="0" xfId="0" applyFont="1" applyFill="1" applyAlignment="1">
      <alignment horizontal="center"/>
    </xf>
    <xf numFmtId="182" fontId="4" fillId="31" borderId="0" xfId="0" applyNumberFormat="1" applyFont="1" applyFill="1" applyAlignment="1" applyProtection="1">
      <alignment horizontal="center"/>
      <protection locked="0"/>
    </xf>
    <xf numFmtId="0" fontId="4" fillId="31" borderId="0" xfId="0" quotePrefix="1" applyFont="1" applyFill="1" applyAlignment="1">
      <alignment horizontal="center" vertical="center" wrapText="1"/>
    </xf>
    <xf numFmtId="42" fontId="14" fillId="31" borderId="0" xfId="0" applyNumberFormat="1" applyFont="1" applyFill="1" applyProtection="1">
      <protection locked="0"/>
    </xf>
    <xf numFmtId="41" fontId="14" fillId="31" borderId="0" xfId="0" applyNumberFormat="1" applyFont="1" applyFill="1" applyProtection="1">
      <protection locked="0"/>
    </xf>
    <xf numFmtId="165" fontId="14" fillId="31" borderId="66" xfId="0" applyNumberFormat="1" applyFont="1" applyFill="1" applyBorder="1"/>
    <xf numFmtId="42" fontId="14" fillId="31" borderId="0" xfId="0" applyNumberFormat="1" applyFont="1" applyFill="1"/>
    <xf numFmtId="166" fontId="14" fillId="31" borderId="66" xfId="0" applyNumberFormat="1" applyFont="1" applyFill="1" applyBorder="1"/>
    <xf numFmtId="0" fontId="14" fillId="31" borderId="66" xfId="0" applyFont="1" applyFill="1" applyBorder="1"/>
    <xf numFmtId="42" fontId="14" fillId="31" borderId="43" xfId="0" applyNumberFormat="1" applyFont="1" applyFill="1" applyBorder="1" applyProtection="1">
      <protection locked="0"/>
    </xf>
    <xf numFmtId="42" fontId="0" fillId="31" borderId="0" xfId="0" applyNumberFormat="1" applyFill="1"/>
    <xf numFmtId="44" fontId="14" fillId="31" borderId="0" xfId="0" applyNumberFormat="1" applyFont="1" applyFill="1"/>
    <xf numFmtId="9" fontId="14" fillId="31" borderId="0" xfId="0" applyNumberFormat="1" applyFont="1" applyFill="1" applyProtection="1">
      <protection locked="0"/>
    </xf>
    <xf numFmtId="41" fontId="14" fillId="31" borderId="0" xfId="0" applyNumberFormat="1" applyFont="1" applyFill="1"/>
    <xf numFmtId="43" fontId="14" fillId="31" borderId="0" xfId="0" applyNumberFormat="1" applyFont="1" applyFill="1"/>
    <xf numFmtId="42" fontId="14" fillId="31" borderId="53" xfId="0" applyNumberFormat="1" applyFont="1" applyFill="1" applyBorder="1"/>
    <xf numFmtId="10" fontId="14" fillId="31" borderId="0" xfId="0" applyNumberFormat="1" applyFont="1" applyFill="1"/>
    <xf numFmtId="165" fontId="14" fillId="31" borderId="0" xfId="0" applyNumberFormat="1" applyFont="1" applyFill="1"/>
    <xf numFmtId="3" fontId="29" fillId="31" borderId="65" xfId="0" applyNumberFormat="1" applyFont="1" applyFill="1" applyBorder="1" applyAlignment="1">
      <alignment horizontal="right"/>
    </xf>
    <xf numFmtId="42" fontId="31" fillId="31" borderId="0" xfId="0" applyNumberFormat="1" applyFont="1" applyFill="1" applyProtection="1">
      <protection locked="0"/>
    </xf>
    <xf numFmtId="41" fontId="31" fillId="31" borderId="0" xfId="0" applyNumberFormat="1" applyFont="1" applyFill="1" applyProtection="1">
      <protection locked="0"/>
    </xf>
    <xf numFmtId="165" fontId="31" fillId="31" borderId="66" xfId="0" applyNumberFormat="1" applyFont="1" applyFill="1" applyBorder="1"/>
    <xf numFmtId="0" fontId="31" fillId="31" borderId="0" xfId="0" applyFont="1" applyFill="1"/>
    <xf numFmtId="42" fontId="31" fillId="31" borderId="0" xfId="0" applyNumberFormat="1" applyFont="1" applyFill="1"/>
    <xf numFmtId="166" fontId="31" fillId="31" borderId="66" xfId="0" applyNumberFormat="1" applyFont="1" applyFill="1" applyBorder="1"/>
    <xf numFmtId="0" fontId="31" fillId="31" borderId="66" xfId="0" applyFont="1" applyFill="1" applyBorder="1"/>
    <xf numFmtId="42" fontId="31" fillId="31" borderId="43" xfId="0" applyNumberFormat="1" applyFont="1" applyFill="1" applyBorder="1" applyProtection="1">
      <protection locked="0"/>
    </xf>
    <xf numFmtId="42" fontId="19" fillId="31" borderId="0" xfId="0" applyNumberFormat="1" applyFont="1" applyFill="1"/>
    <xf numFmtId="42" fontId="31" fillId="31" borderId="53" xfId="0" applyNumberFormat="1" applyFont="1" applyFill="1" applyBorder="1"/>
    <xf numFmtId="10" fontId="31" fillId="31" borderId="0" xfId="0" applyNumberFormat="1" applyFont="1" applyFill="1"/>
    <xf numFmtId="165" fontId="31" fillId="31" borderId="0" xfId="0" applyNumberFormat="1" applyFont="1" applyFill="1"/>
    <xf numFmtId="0" fontId="45" fillId="31" borderId="0" xfId="0" applyFont="1" applyFill="1" applyAlignment="1">
      <alignment horizontal="center"/>
    </xf>
    <xf numFmtId="0" fontId="4" fillId="31" borderId="0" xfId="0" applyFont="1" applyFill="1" applyAlignment="1">
      <alignment horizontal="center" vertical="center" wrapText="1"/>
    </xf>
    <xf numFmtId="0" fontId="55" fillId="31" borderId="0" xfId="0" applyFont="1" applyFill="1"/>
    <xf numFmtId="41" fontId="50" fillId="31" borderId="0" xfId="0" applyNumberFormat="1" applyFont="1" applyFill="1" applyAlignment="1">
      <alignment horizontal="left"/>
    </xf>
    <xf numFmtId="41" fontId="6" fillId="31" borderId="0" xfId="0" applyNumberFormat="1" applyFont="1" applyFill="1" applyAlignment="1">
      <alignment horizontal="right"/>
    </xf>
    <xf numFmtId="41" fontId="6" fillId="31" borderId="0" xfId="0" applyNumberFormat="1" applyFont="1" applyFill="1" applyProtection="1">
      <protection locked="0"/>
    </xf>
    <xf numFmtId="165" fontId="6" fillId="31" borderId="0" xfId="1" applyNumberFormat="1" applyFont="1" applyFill="1" applyAlignment="1">
      <alignment horizontal="centerContinuous"/>
    </xf>
    <xf numFmtId="0" fontId="0" fillId="31" borderId="0" xfId="0" applyFill="1"/>
    <xf numFmtId="0" fontId="2" fillId="31" borderId="34" xfId="0" applyFont="1" applyFill="1" applyBorder="1" applyAlignment="1">
      <alignment horizontal="right"/>
    </xf>
    <xf numFmtId="0" fontId="3" fillId="31" borderId="35" xfId="0" applyFont="1" applyFill="1" applyBorder="1" applyAlignment="1">
      <alignment horizontal="right"/>
    </xf>
    <xf numFmtId="0" fontId="2" fillId="31" borderId="61" xfId="0" applyFont="1" applyFill="1" applyBorder="1" applyAlignment="1">
      <alignment horizontal="right"/>
    </xf>
    <xf numFmtId="174" fontId="3" fillId="31" borderId="62" xfId="0" applyNumberFormat="1" applyFont="1" applyFill="1" applyBorder="1" applyAlignment="1">
      <alignment horizontal="right"/>
    </xf>
    <xf numFmtId="0" fontId="3" fillId="31" borderId="36" xfId="0" applyFont="1" applyFill="1" applyBorder="1" applyAlignment="1">
      <alignment horizontal="right"/>
    </xf>
    <xf numFmtId="43" fontId="3" fillId="31" borderId="37" xfId="0" applyNumberFormat="1" applyFont="1" applyFill="1" applyBorder="1"/>
    <xf numFmtId="10" fontId="2" fillId="31" borderId="0" xfId="0" applyNumberFormat="1" applyFont="1" applyFill="1"/>
    <xf numFmtId="165" fontId="107" fillId="31" borderId="63" xfId="1" applyNumberFormat="1" applyFont="1" applyFill="1" applyBorder="1"/>
    <xf numFmtId="165" fontId="83" fillId="31" borderId="0" xfId="1" applyNumberFormat="1" applyFont="1" applyFill="1"/>
    <xf numFmtId="41" fontId="17" fillId="31" borderId="0" xfId="0" applyNumberFormat="1" applyFont="1" applyFill="1"/>
    <xf numFmtId="166" fontId="71" fillId="31" borderId="0" xfId="12" applyNumberFormat="1" applyFont="1" applyFill="1"/>
    <xf numFmtId="41" fontId="133" fillId="9" borderId="0" xfId="0" applyNumberFormat="1" applyFont="1" applyFill="1"/>
    <xf numFmtId="0" fontId="0" fillId="9" borderId="0" xfId="0" applyFill="1" applyAlignment="1">
      <alignment horizontal="center"/>
    </xf>
    <xf numFmtId="0" fontId="81" fillId="9" borderId="0" xfId="0" applyFont="1" applyFill="1"/>
    <xf numFmtId="0" fontId="70" fillId="9" borderId="0" xfId="0" applyFont="1" applyFill="1" applyAlignment="1">
      <alignment horizontal="center"/>
    </xf>
    <xf numFmtId="0" fontId="40" fillId="9" borderId="0" xfId="0" applyFont="1" applyFill="1"/>
    <xf numFmtId="166" fontId="0" fillId="9" borderId="0" xfId="0" applyNumberFormat="1" applyFill="1"/>
    <xf numFmtId="41" fontId="0" fillId="9" borderId="31" xfId="0" applyNumberFormat="1" applyFill="1" applyBorder="1"/>
    <xf numFmtId="165" fontId="7" fillId="9" borderId="0" xfId="1" applyNumberFormat="1" applyFont="1" applyFill="1" applyAlignment="1">
      <alignment horizontal="center"/>
    </xf>
    <xf numFmtId="0" fontId="7" fillId="9" borderId="0" xfId="0" applyFont="1" applyFill="1"/>
    <xf numFmtId="0" fontId="0" fillId="9" borderId="0" xfId="0" applyFill="1" applyAlignment="1">
      <alignment horizontal="left" indent="1"/>
    </xf>
    <xf numFmtId="0" fontId="0" fillId="9" borderId="31" xfId="0" applyFill="1" applyBorder="1" applyAlignment="1">
      <alignment horizontal="left" indent="1"/>
    </xf>
    <xf numFmtId="41" fontId="17" fillId="9" borderId="0" xfId="0" applyNumberFormat="1" applyFont="1" applyFill="1"/>
    <xf numFmtId="166" fontId="32" fillId="9" borderId="0" xfId="12" applyNumberFormat="1" applyFont="1" applyFill="1"/>
    <xf numFmtId="165" fontId="31" fillId="0" borderId="0" xfId="1" applyNumberFormat="1" applyFont="1"/>
    <xf numFmtId="0" fontId="14" fillId="0" borderId="21" xfId="0" applyFont="1" applyBorder="1" applyAlignment="1">
      <alignment horizontal="right"/>
    </xf>
    <xf numFmtId="3" fontId="48" fillId="0" borderId="0" xfId="0" applyNumberFormat="1" applyFont="1" applyAlignment="1">
      <alignment horizontal="right"/>
    </xf>
    <xf numFmtId="0" fontId="31" fillId="0" borderId="0" xfId="0" applyFont="1" applyAlignment="1">
      <alignment horizontal="right"/>
    </xf>
    <xf numFmtId="0" fontId="4" fillId="0" borderId="63" xfId="0" applyFont="1" applyBorder="1" applyAlignment="1">
      <alignment horizontal="centerContinuous"/>
    </xf>
    <xf numFmtId="37" fontId="28" fillId="0" borderId="0" xfId="0" applyNumberFormat="1" applyFont="1" applyAlignment="1">
      <alignment horizontal="left"/>
    </xf>
    <xf numFmtId="165" fontId="6" fillId="0" borderId="63" xfId="0" applyNumberFormat="1" applyFont="1" applyBorder="1"/>
  </cellXfs>
  <cellStyles count="18">
    <cellStyle name="Comma" xfId="1" builtinId="3"/>
    <cellStyle name="Comma 4" xfId="7" xr:uid="{00000000-0005-0000-0000-000001000000}"/>
    <cellStyle name="Currency" xfId="12" builtinId="4"/>
    <cellStyle name="Normal" xfId="0" builtinId="0"/>
    <cellStyle name="Normal 2" xfId="2" xr:uid="{00000000-0005-0000-0000-000004000000}"/>
    <cellStyle name="Normal 2 2" xfId="10" xr:uid="{00000000-0005-0000-0000-000005000000}"/>
    <cellStyle name="Normal 201" xfId="3" xr:uid="{00000000-0005-0000-0000-000006000000}"/>
    <cellStyle name="Normal 202" xfId="5" xr:uid="{00000000-0005-0000-0000-000007000000}"/>
    <cellStyle name="Normal 3" xfId="9" xr:uid="{00000000-0005-0000-0000-000008000000}"/>
    <cellStyle name="Normal 3 2 8" xfId="4" xr:uid="{00000000-0005-0000-0000-000009000000}"/>
    <cellStyle name="Normal 4" xfId="6" xr:uid="{00000000-0005-0000-0000-00000A000000}"/>
    <cellStyle name="Percent" xfId="11" builtinId="5"/>
    <cellStyle name="Percent 2" xfId="8" xr:uid="{00000000-0005-0000-0000-00000C000000}"/>
    <cellStyle name="SAPDataCell" xfId="15" xr:uid="{00000000-0005-0000-0000-00000D000000}"/>
    <cellStyle name="SAPDataTotalCell" xfId="17" xr:uid="{00000000-0005-0000-0000-00000E000000}"/>
    <cellStyle name="SAPDimensionCell" xfId="13" xr:uid="{00000000-0005-0000-0000-00000F000000}"/>
    <cellStyle name="SAPMemberCell" xfId="14" xr:uid="{00000000-0005-0000-0000-000010000000}"/>
    <cellStyle name="SAPMemberTotalCell" xfId="16" xr:uid="{00000000-0005-0000-0000-000011000000}"/>
  </cellStyles>
  <dxfs count="125">
    <dxf>
      <font>
        <b/>
        <i val="0"/>
        <color auto="1"/>
      </font>
      <fill>
        <patternFill>
          <bgColor rgb="FFFF0000"/>
        </patternFill>
      </fill>
    </dxf>
    <dxf>
      <font>
        <b/>
        <i val="0"/>
        <color theme="1"/>
      </font>
      <fill>
        <patternFill>
          <bgColor rgb="FF92D050"/>
        </patternFill>
      </fill>
    </dxf>
    <dxf>
      <font>
        <b/>
        <i val="0"/>
        <color auto="1"/>
      </font>
      <fill>
        <patternFill>
          <bgColor rgb="FFFF0000"/>
        </patternFill>
      </fill>
    </dxf>
    <dxf>
      <font>
        <b/>
        <i val="0"/>
        <color theme="1"/>
      </font>
      <fill>
        <patternFill>
          <bgColor rgb="FF92D050"/>
        </patternFill>
      </fill>
    </dxf>
    <dxf>
      <font>
        <b/>
        <i val="0"/>
        <color auto="1"/>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FF0000"/>
        </patternFill>
      </fill>
    </dxf>
    <dxf>
      <font>
        <b/>
        <i val="0"/>
        <color theme="1"/>
      </font>
      <fill>
        <patternFill>
          <bgColor rgb="FF92D050"/>
        </patternFill>
      </fill>
    </dxf>
    <dxf>
      <font>
        <b/>
        <i val="0"/>
        <color auto="1"/>
      </font>
      <fill>
        <patternFill>
          <bgColor rgb="FFFF0000"/>
        </patternFill>
      </fill>
    </dxf>
    <dxf>
      <font>
        <b/>
        <i val="0"/>
        <color theme="1"/>
      </font>
      <fill>
        <patternFill>
          <bgColor rgb="FF92D050"/>
        </patternFill>
      </fill>
    </dxf>
    <dxf>
      <font>
        <b/>
        <i val="0"/>
        <color auto="1"/>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font>
      <fill>
        <patternFill>
          <bgColor rgb="FFFFC000"/>
        </patternFill>
      </fill>
    </dxf>
    <dxf>
      <font>
        <b/>
        <i val="0"/>
      </font>
      <fill>
        <patternFill>
          <bgColor rgb="FFFFC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font>
      <fill>
        <patternFill>
          <bgColor rgb="FFFFC000"/>
        </patternFill>
      </fill>
    </dxf>
    <dxf>
      <font>
        <b/>
        <i val="0"/>
      </font>
      <fill>
        <patternFill>
          <bgColor rgb="FFFFC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s>
  <tableStyles count="0" defaultTableStyle="TableStyleMedium2" defaultPivotStyle="PivotStyleLight16"/>
  <colors>
    <mruColors>
      <color rgb="FF00FF00"/>
      <color rgb="FFFF00FF"/>
      <color rgb="FF0000FF"/>
      <color rgb="FFCCFF66"/>
      <color rgb="FFCCFF33"/>
      <color rgb="FFFF9999"/>
      <color rgb="FF99FF33"/>
      <color rgb="FFCC3300"/>
      <color rgb="FFFF505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2252383</xdr:colOff>
      <xdr:row>9</xdr:row>
      <xdr:rowOff>22412</xdr:rowOff>
    </xdr:from>
    <xdr:to>
      <xdr:col>2</xdr:col>
      <xdr:colOff>3977529</xdr:colOff>
      <xdr:row>10</xdr:row>
      <xdr:rowOff>101412</xdr:rowOff>
    </xdr:to>
    <xdr:sp macro="" textlink="">
      <xdr:nvSpPr>
        <xdr:cNvPr id="2" name="TextBox 1">
          <a:extLst>
            <a:ext uri="{FF2B5EF4-FFF2-40B4-BE49-F238E27FC236}">
              <a16:creationId xmlns:a16="http://schemas.microsoft.com/office/drawing/2014/main" id="{70336E8E-0826-4763-995D-6DA2EAD658D7}"/>
            </a:ext>
          </a:extLst>
        </xdr:cNvPr>
        <xdr:cNvSpPr txBox="1"/>
      </xdr:nvSpPr>
      <xdr:spPr>
        <a:xfrm rot="20722649">
          <a:off x="5031442" y="1692088"/>
          <a:ext cx="1725146" cy="258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FROM CO FILING</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133350</xdr:colOff>
      <xdr:row>92</xdr:row>
      <xdr:rowOff>38100</xdr:rowOff>
    </xdr:from>
    <xdr:to>
      <xdr:col>25</xdr:col>
      <xdr:colOff>151798</xdr:colOff>
      <xdr:row>116</xdr:row>
      <xdr:rowOff>66100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8011775" y="17564100"/>
          <a:ext cx="4819048" cy="4600000"/>
        </a:xfrm>
        <a:prstGeom prst="rect">
          <a:avLst/>
        </a:prstGeom>
      </xdr:spPr>
    </xdr:pic>
    <xdr:clientData/>
  </xdr:twoCellAnchor>
  <xdr:twoCellAnchor editAs="oneCell">
    <xdr:from>
      <xdr:col>18</xdr:col>
      <xdr:colOff>133350</xdr:colOff>
      <xdr:row>92</xdr:row>
      <xdr:rowOff>38100</xdr:rowOff>
    </xdr:from>
    <xdr:to>
      <xdr:col>25</xdr:col>
      <xdr:colOff>227998</xdr:colOff>
      <xdr:row>116</xdr:row>
      <xdr:rowOff>66100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8011775" y="17564100"/>
          <a:ext cx="4819048" cy="4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AB207"/>
  <sheetViews>
    <sheetView showGridLines="0" zoomScaleNormal="100" workbookViewId="0">
      <pane ySplit="10" topLeftCell="A11" activePane="bottomLeft" state="frozen"/>
      <selection activeCell="E167" sqref="E167"/>
      <selection pane="bottomLeft" activeCell="C26" sqref="C26"/>
    </sheetView>
  </sheetViews>
  <sheetFormatPr defaultColWidth="9.26953125" defaultRowHeight="13" outlineLevelRow="1" outlineLevelCol="1" x14ac:dyDescent="0.3"/>
  <cols>
    <col min="1" max="1" width="5" style="1" bestFit="1" customWidth="1"/>
    <col min="2" max="2" width="68.7265625" style="1" customWidth="1"/>
    <col min="3" max="3" width="17.26953125" style="1" customWidth="1"/>
    <col min="4" max="4" width="16" style="1" bestFit="1" customWidth="1"/>
    <col min="5" max="5" width="16" style="1" customWidth="1" outlineLevel="1"/>
    <col min="6" max="6" width="18.26953125" style="1" customWidth="1" outlineLevel="1"/>
    <col min="7" max="7" width="12.453125" style="1" bestFit="1" customWidth="1"/>
    <col min="8" max="8" width="41.7265625" style="1" customWidth="1"/>
    <col min="9" max="11" width="12.26953125" style="1" customWidth="1"/>
    <col min="12" max="12" width="5" style="1" customWidth="1"/>
    <col min="13" max="13" width="61.7265625" style="1" customWidth="1"/>
    <col min="14" max="14" width="11.54296875" style="1" customWidth="1"/>
    <col min="15" max="15" width="9.26953125" style="1" customWidth="1"/>
    <col min="16" max="16" width="11.7265625" style="1" customWidth="1"/>
    <col min="17" max="17" width="9.26953125" style="1" customWidth="1"/>
    <col min="18" max="19" width="9.26953125" style="1"/>
    <col min="20" max="20" width="15.26953125" style="1" bestFit="1" customWidth="1"/>
    <col min="21" max="21" width="19.453125" style="1" customWidth="1"/>
    <col min="22" max="22" width="12.26953125" style="1" bestFit="1" customWidth="1"/>
    <col min="23" max="23" width="15.26953125" style="1" bestFit="1" customWidth="1"/>
    <col min="24" max="26" width="9.26953125" style="1"/>
    <col min="27" max="27" width="16.7265625" style="1" customWidth="1"/>
    <col min="28" max="16384" width="9.26953125" style="1"/>
  </cols>
  <sheetData>
    <row r="1" spans="1:28" ht="14" x14ac:dyDescent="0.3">
      <c r="C1" s="1266" t="s">
        <v>1936</v>
      </c>
      <c r="D1" s="1267"/>
      <c r="E1" s="442"/>
      <c r="F1" s="112"/>
      <c r="J1" s="108" t="s">
        <v>1935</v>
      </c>
      <c r="K1" s="109"/>
      <c r="N1" s="108" t="s">
        <v>1937</v>
      </c>
      <c r="O1" s="125"/>
      <c r="P1" s="109"/>
    </row>
    <row r="2" spans="1:28" x14ac:dyDescent="0.3">
      <c r="A2" s="126" t="str">
        <f>Company</f>
        <v>PUGET SOUND ENERGY - GAS</v>
      </c>
      <c r="B2" s="126"/>
      <c r="C2" s="126"/>
      <c r="D2" s="126"/>
      <c r="E2" s="149"/>
      <c r="F2" s="149"/>
      <c r="G2" s="126" t="str">
        <f>Company</f>
        <v>PUGET SOUND ENERGY - GAS</v>
      </c>
      <c r="H2" s="126"/>
      <c r="I2" s="126"/>
      <c r="J2" s="126"/>
      <c r="K2" s="126"/>
      <c r="L2" s="126" t="str">
        <f>Company</f>
        <v>PUGET SOUND ENERGY - GAS</v>
      </c>
      <c r="M2" s="126"/>
      <c r="N2" s="127"/>
      <c r="O2" s="127"/>
      <c r="P2" s="127"/>
    </row>
    <row r="3" spans="1:28" x14ac:dyDescent="0.3">
      <c r="A3" s="126" t="s">
        <v>956</v>
      </c>
      <c r="B3" s="126"/>
      <c r="C3" s="126"/>
      <c r="D3" s="126"/>
      <c r="E3" s="149"/>
      <c r="F3" s="149"/>
      <c r="G3" s="126" t="s">
        <v>956</v>
      </c>
      <c r="H3" s="126"/>
      <c r="I3" s="126"/>
      <c r="J3" s="126"/>
      <c r="K3" s="126"/>
      <c r="L3" s="126" t="s">
        <v>956</v>
      </c>
      <c r="M3" s="126"/>
      <c r="N3" s="127"/>
      <c r="O3" s="127"/>
      <c r="P3" s="127"/>
    </row>
    <row r="4" spans="1:28" x14ac:dyDescent="0.3">
      <c r="A4" s="126" t="str">
        <f>+RateCase</f>
        <v>2024 GENERAL RATE CASE</v>
      </c>
      <c r="B4" s="126"/>
      <c r="C4" s="126"/>
      <c r="D4" s="126"/>
      <c r="E4" s="149"/>
      <c r="F4" s="149"/>
      <c r="G4" s="126" t="str">
        <f>$A$4</f>
        <v>2024 GENERAL RATE CASE</v>
      </c>
      <c r="H4" s="126"/>
      <c r="I4" s="126"/>
      <c r="J4" s="126"/>
      <c r="K4" s="126"/>
      <c r="L4" s="126" t="str">
        <f>$A$4</f>
        <v>2024 GENERAL RATE CASE</v>
      </c>
      <c r="M4" s="126"/>
      <c r="N4" s="127"/>
      <c r="O4" s="127"/>
      <c r="P4" s="127"/>
    </row>
    <row r="5" spans="1:28" x14ac:dyDescent="0.3">
      <c r="A5" s="126" t="str">
        <f>+TestYear</f>
        <v>12 MONTHS ENDED JUNE 30, 2023</v>
      </c>
      <c r="B5" s="126"/>
      <c r="C5" s="126"/>
      <c r="D5" s="126"/>
      <c r="E5" s="149"/>
      <c r="F5" s="149"/>
      <c r="G5" s="126" t="str">
        <f>$A$5</f>
        <v>12 MONTHS ENDED JUNE 30, 2023</v>
      </c>
      <c r="H5" s="126"/>
      <c r="I5" s="126"/>
      <c r="J5" s="126"/>
      <c r="K5" s="126"/>
      <c r="L5" s="126" t="str">
        <f>$A$5</f>
        <v>12 MONTHS ENDED JUNE 30, 2023</v>
      </c>
      <c r="M5" s="126"/>
      <c r="N5" s="127"/>
      <c r="O5" s="127"/>
      <c r="P5" s="127"/>
    </row>
    <row r="6" spans="1:28" s="223" customFormat="1" x14ac:dyDescent="0.3">
      <c r="A6" s="221" t="s">
        <v>173</v>
      </c>
      <c r="B6" s="221"/>
      <c r="C6" s="221"/>
      <c r="D6" s="221"/>
      <c r="E6" s="744"/>
      <c r="F6" s="744"/>
      <c r="G6" s="221" t="s">
        <v>1904</v>
      </c>
      <c r="H6" s="221"/>
      <c r="I6" s="221"/>
      <c r="J6" s="221"/>
      <c r="K6" s="221"/>
      <c r="L6" s="221" t="s">
        <v>23</v>
      </c>
      <c r="M6" s="221"/>
      <c r="N6" s="221"/>
      <c r="O6" s="221"/>
      <c r="P6" s="221"/>
    </row>
    <row r="7" spans="1:28" x14ac:dyDescent="0.3">
      <c r="B7" s="127"/>
      <c r="C7" s="127"/>
      <c r="D7" s="127"/>
      <c r="E7" s="127"/>
      <c r="F7" s="127"/>
      <c r="H7" s="127"/>
      <c r="I7" s="127"/>
      <c r="J7" s="127"/>
      <c r="K7" s="127"/>
      <c r="L7" s="127"/>
      <c r="M7" s="127"/>
      <c r="N7" s="127"/>
      <c r="O7" s="127"/>
      <c r="P7" s="127"/>
    </row>
    <row r="8" spans="1:28" x14ac:dyDescent="0.3">
      <c r="L8" s="127"/>
      <c r="M8" s="127"/>
      <c r="N8" s="127"/>
      <c r="O8" s="127"/>
    </row>
    <row r="9" spans="1:28" x14ac:dyDescent="0.3">
      <c r="A9" s="110" t="s">
        <v>7</v>
      </c>
      <c r="B9" s="110"/>
      <c r="C9" s="110">
        <v>2025</v>
      </c>
      <c r="D9" s="110">
        <v>2026</v>
      </c>
      <c r="E9" s="110"/>
      <c r="F9" s="110"/>
      <c r="G9" s="110" t="s">
        <v>7</v>
      </c>
      <c r="H9" s="110"/>
      <c r="I9" s="110" t="s">
        <v>174</v>
      </c>
      <c r="K9" s="110" t="s">
        <v>175</v>
      </c>
      <c r="L9" s="110" t="s">
        <v>7</v>
      </c>
      <c r="M9" s="110"/>
      <c r="N9" s="110"/>
    </row>
    <row r="10" spans="1:28" ht="14.5" x14ac:dyDescent="0.35">
      <c r="A10" s="128" t="s">
        <v>78</v>
      </c>
      <c r="B10" s="128" t="s">
        <v>8</v>
      </c>
      <c r="C10" s="128" t="s">
        <v>33</v>
      </c>
      <c r="D10" s="128" t="s">
        <v>37</v>
      </c>
      <c r="E10" s="110"/>
      <c r="F10" s="110"/>
      <c r="G10" s="128" t="s">
        <v>78</v>
      </c>
      <c r="H10" s="128" t="s">
        <v>8</v>
      </c>
      <c r="I10" s="128" t="s">
        <v>176</v>
      </c>
      <c r="J10" s="128" t="s">
        <v>81</v>
      </c>
      <c r="K10" s="128" t="s">
        <v>81</v>
      </c>
      <c r="L10" s="128" t="s">
        <v>78</v>
      </c>
      <c r="M10" s="128" t="s">
        <v>8</v>
      </c>
      <c r="N10" s="128"/>
      <c r="O10" s="129"/>
      <c r="P10" s="129"/>
      <c r="S10"/>
      <c r="T10"/>
      <c r="U10"/>
      <c r="V10"/>
      <c r="W10"/>
      <c r="X10"/>
      <c r="Y10"/>
      <c r="Z10"/>
      <c r="AA10"/>
      <c r="AB10"/>
    </row>
    <row r="11" spans="1:28" ht="14.5" x14ac:dyDescent="0.35">
      <c r="G11"/>
      <c r="H11"/>
      <c r="I11"/>
      <c r="J11"/>
      <c r="K11"/>
      <c r="T11" s="114"/>
      <c r="V11"/>
      <c r="W11"/>
      <c r="X11"/>
      <c r="Y11"/>
      <c r="Z11"/>
      <c r="AA11"/>
      <c r="AB11"/>
    </row>
    <row r="12" spans="1:28" ht="14.5" x14ac:dyDescent="0.35">
      <c r="A12" s="111">
        <v>1</v>
      </c>
      <c r="B12" s="1" t="s">
        <v>79</v>
      </c>
      <c r="C12" s="245">
        <f>'Summary DPK-7 '!K58</f>
        <v>2866503992.9496732</v>
      </c>
      <c r="D12" s="245">
        <f>'Summary DPK-7 '!M58</f>
        <v>2863128296.2018123</v>
      </c>
      <c r="E12" s="245"/>
      <c r="F12" s="245"/>
      <c r="G12" s="111">
        <v>1</v>
      </c>
      <c r="H12" s="400" t="s">
        <v>1124</v>
      </c>
      <c r="I12" s="414"/>
      <c r="J12" s="414"/>
      <c r="K12" s="711"/>
      <c r="L12" s="111">
        <v>1</v>
      </c>
      <c r="M12" s="112" t="s">
        <v>154</v>
      </c>
      <c r="P12" s="131">
        <v>2.8909999999999999E-3</v>
      </c>
      <c r="S12" s="111"/>
      <c r="T12" s="114"/>
      <c r="U12" s="114"/>
      <c r="V12"/>
      <c r="W12"/>
      <c r="X12"/>
      <c r="Y12"/>
      <c r="Z12"/>
      <c r="AA12"/>
      <c r="AB12"/>
    </row>
    <row r="13" spans="1:28" ht="14.5" x14ac:dyDescent="0.35">
      <c r="A13" s="111">
        <f t="shared" ref="A13:A81" si="0">A12+1</f>
        <v>2</v>
      </c>
      <c r="B13" s="112" t="s">
        <v>125</v>
      </c>
      <c r="C13" s="430">
        <f>+K27</f>
        <v>7.3575000000000002E-2</v>
      </c>
      <c r="D13" s="430">
        <f>+K39</f>
        <v>7.3700000000000002E-2</v>
      </c>
      <c r="E13" s="130"/>
      <c r="F13" s="130"/>
      <c r="G13" s="111">
        <f>+G12+1</f>
        <v>2</v>
      </c>
      <c r="H13" s="119" t="s">
        <v>177</v>
      </c>
      <c r="I13" s="130">
        <v>0.50929999999999997</v>
      </c>
      <c r="J13" s="130">
        <f>K13/I13</f>
        <v>5.1639505203220103E-2</v>
      </c>
      <c r="K13" s="251">
        <v>2.6299999999999997E-2</v>
      </c>
      <c r="L13" s="111">
        <f t="shared" ref="L13:L23" si="1">L12+1</f>
        <v>2</v>
      </c>
      <c r="M13" s="112" t="s">
        <v>179</v>
      </c>
      <c r="P13" s="131">
        <v>4.0000000000000001E-3</v>
      </c>
      <c r="S13" s="111"/>
      <c r="T13" s="130"/>
      <c r="U13" s="114"/>
      <c r="V13"/>
      <c r="W13"/>
      <c r="X13"/>
      <c r="Y13"/>
      <c r="Z13"/>
      <c r="AA13"/>
      <c r="AB13"/>
    </row>
    <row r="14" spans="1:28" ht="14.5" x14ac:dyDescent="0.35">
      <c r="A14" s="111">
        <f t="shared" si="0"/>
        <v>3</v>
      </c>
      <c r="B14" s="112"/>
      <c r="C14" s="431"/>
      <c r="D14" s="431"/>
      <c r="G14" s="111">
        <f t="shared" ref="G14:G41" si="2">+G13+1</f>
        <v>3</v>
      </c>
      <c r="H14" s="119" t="s">
        <v>178</v>
      </c>
      <c r="I14" s="130">
        <v>0.49070000000000003</v>
      </c>
      <c r="J14" s="130">
        <v>9.4E-2</v>
      </c>
      <c r="K14" s="251">
        <f>ROUND(I14*J14,4)</f>
        <v>4.6100000000000002E-2</v>
      </c>
      <c r="L14" s="111">
        <f t="shared" si="1"/>
        <v>3</v>
      </c>
      <c r="M14" s="112" t="str">
        <f>"STATE UTILITY TAX ( "&amp;P14*100&amp;"% - ( LINE "&amp;L12&amp;" * "&amp;P14*100&amp;"% )  )"</f>
        <v>STATE UTILITY TAX ( 3.8409% - ( LINE 1 * 3.8409% )  )</v>
      </c>
      <c r="O14" s="132">
        <v>3.8519999999999999E-2</v>
      </c>
      <c r="P14" s="133">
        <f>ROUND(O14-(O14*P12),6)</f>
        <v>3.8408999999999999E-2</v>
      </c>
      <c r="S14" s="111"/>
      <c r="U14" s="114"/>
      <c r="V14"/>
      <c r="W14"/>
      <c r="X14"/>
      <c r="Y14"/>
      <c r="Z14"/>
      <c r="AA14"/>
      <c r="AB14"/>
    </row>
    <row r="15" spans="1:28" ht="14.5" x14ac:dyDescent="0.35">
      <c r="A15" s="111">
        <f t="shared" si="0"/>
        <v>4</v>
      </c>
      <c r="B15" s="1" t="s">
        <v>180</v>
      </c>
      <c r="C15" s="366">
        <f>+C13*C12</f>
        <v>210903031.2812722</v>
      </c>
      <c r="D15" s="366">
        <f>+D13*D12</f>
        <v>211012555.43007356</v>
      </c>
      <c r="E15" s="366"/>
      <c r="F15" s="366"/>
      <c r="G15" s="111">
        <f t="shared" si="2"/>
        <v>4</v>
      </c>
      <c r="H15" s="119" t="s">
        <v>77</v>
      </c>
      <c r="I15" s="712">
        <f>SUM(I13:I14)</f>
        <v>1</v>
      </c>
      <c r="J15" s="414"/>
      <c r="K15" s="1283">
        <f>SUM(K13:K14)</f>
        <v>7.2399999999999992E-2</v>
      </c>
      <c r="L15" s="111">
        <f t="shared" si="1"/>
        <v>4</v>
      </c>
      <c r="M15" s="112"/>
      <c r="P15" s="131"/>
      <c r="S15" s="111"/>
      <c r="T15" s="134"/>
      <c r="U15" s="114"/>
      <c r="V15"/>
      <c r="W15"/>
      <c r="X15"/>
      <c r="Y15"/>
      <c r="Z15"/>
      <c r="AA15"/>
      <c r="AB15"/>
    </row>
    <row r="16" spans="1:28" ht="14.5" x14ac:dyDescent="0.35">
      <c r="A16" s="111">
        <f t="shared" si="0"/>
        <v>5</v>
      </c>
      <c r="C16" s="241"/>
      <c r="D16" s="241"/>
      <c r="G16" s="111">
        <f t="shared" si="2"/>
        <v>5</v>
      </c>
      <c r="H16" s="119"/>
      <c r="K16" s="77"/>
      <c r="L16" s="111">
        <f t="shared" si="1"/>
        <v>5</v>
      </c>
      <c r="M16" s="112" t="s">
        <v>182</v>
      </c>
      <c r="P16" s="131">
        <f>ROUND(SUM(P12:P14),6)</f>
        <v>4.53E-2</v>
      </c>
      <c r="S16" s="111"/>
      <c r="U16" s="114"/>
      <c r="V16"/>
      <c r="W16"/>
      <c r="X16"/>
      <c r="Y16"/>
      <c r="Z16"/>
      <c r="AA16"/>
      <c r="AB16"/>
    </row>
    <row r="17" spans="1:28" ht="14.5" x14ac:dyDescent="0.35">
      <c r="A17" s="111">
        <f t="shared" si="0"/>
        <v>6</v>
      </c>
      <c r="B17" s="112" t="s">
        <v>183</v>
      </c>
      <c r="C17" s="366">
        <f>'Summary DPK-7 '!K47</f>
        <v>44897236.749018729</v>
      </c>
      <c r="D17" s="366">
        <f>'Summary DPK-7 '!M47</f>
        <v>33679381.611266017</v>
      </c>
      <c r="E17" s="366"/>
      <c r="F17" s="366"/>
      <c r="G17" s="111">
        <f t="shared" si="2"/>
        <v>6</v>
      </c>
      <c r="H17" s="119" t="s">
        <v>181</v>
      </c>
      <c r="I17" s="130">
        <f>+I13</f>
        <v>0.50929999999999997</v>
      </c>
      <c r="J17" s="130">
        <f>J13*0.79</f>
        <v>4.0795209110543885E-2</v>
      </c>
      <c r="K17" s="251">
        <f>ROUND(K13*0.79,4)</f>
        <v>2.0799999999999999E-2</v>
      </c>
      <c r="L17" s="111">
        <f t="shared" si="1"/>
        <v>6</v>
      </c>
      <c r="P17" s="131"/>
      <c r="S17" s="111"/>
      <c r="T17" s="134"/>
      <c r="U17" s="114"/>
      <c r="V17"/>
      <c r="W17"/>
      <c r="X17"/>
      <c r="Y17"/>
      <c r="Z17"/>
      <c r="AA17"/>
      <c r="AB17"/>
    </row>
    <row r="18" spans="1:28" ht="14.5" x14ac:dyDescent="0.35">
      <c r="A18" s="111">
        <f t="shared" si="0"/>
        <v>7</v>
      </c>
      <c r="B18" s="112" t="s">
        <v>184</v>
      </c>
      <c r="C18" s="432">
        <f>+C15-C17</f>
        <v>166005794.53225347</v>
      </c>
      <c r="D18" s="432">
        <f>+D15-D17</f>
        <v>177333173.81880754</v>
      </c>
      <c r="E18" s="366"/>
      <c r="F18" s="366"/>
      <c r="G18" s="111">
        <f t="shared" si="2"/>
        <v>7</v>
      </c>
      <c r="H18" s="119" t="s">
        <v>178</v>
      </c>
      <c r="I18" s="130">
        <f>+I14</f>
        <v>0.49070000000000003</v>
      </c>
      <c r="J18" s="130">
        <f>+J14</f>
        <v>9.4E-2</v>
      </c>
      <c r="K18" s="251">
        <f>ROUND(I18*J18,4)</f>
        <v>4.6100000000000002E-2</v>
      </c>
      <c r="L18" s="111">
        <f t="shared" si="1"/>
        <v>7</v>
      </c>
      <c r="M18" s="1" t="str">
        <f>"CONVERSION FACTOR EXCLUDING FEDERAL INCOME TAX ( 1 - LINE "&amp;$L$17&amp;" )"</f>
        <v>CONVERSION FACTOR EXCLUDING FEDERAL INCOME TAX ( 1 - LINE 6 )</v>
      </c>
      <c r="P18" s="131">
        <f>ROUND(1-P16,6)</f>
        <v>0.95469999999999999</v>
      </c>
      <c r="S18" s="111"/>
      <c r="T18" s="134"/>
      <c r="U18" s="114"/>
      <c r="V18"/>
      <c r="W18"/>
      <c r="X18"/>
      <c r="Y18"/>
      <c r="Z18"/>
      <c r="AA18"/>
      <c r="AB18"/>
    </row>
    <row r="19" spans="1:28" ht="14.5" x14ac:dyDescent="0.35">
      <c r="A19" s="111">
        <f t="shared" si="0"/>
        <v>8</v>
      </c>
      <c r="C19" s="118"/>
      <c r="D19" s="118"/>
      <c r="E19" s="121"/>
      <c r="F19" s="114"/>
      <c r="G19" s="111">
        <f t="shared" si="2"/>
        <v>8</v>
      </c>
      <c r="H19" s="252" t="s">
        <v>185</v>
      </c>
      <c r="I19" s="713">
        <f>SUM(I17:I18)</f>
        <v>1</v>
      </c>
      <c r="J19" s="714"/>
      <c r="K19" s="1284">
        <f>SUM(K17:K18)</f>
        <v>6.6900000000000001E-2</v>
      </c>
      <c r="L19" s="111">
        <f t="shared" si="1"/>
        <v>8</v>
      </c>
      <c r="M19" s="112" t="str">
        <f>+'Named Ranges E'!A11</f>
        <v>FIT</v>
      </c>
      <c r="O19" s="135">
        <f>+FIT</f>
        <v>0.21</v>
      </c>
      <c r="P19" s="131">
        <f>ROUND((P18)*FIT,6)</f>
        <v>0.200487</v>
      </c>
      <c r="S19" s="111"/>
      <c r="U19" s="114"/>
      <c r="V19"/>
      <c r="W19"/>
      <c r="X19"/>
      <c r="Y19"/>
      <c r="Z19"/>
      <c r="AA19"/>
      <c r="AB19"/>
    </row>
    <row r="20" spans="1:28" ht="15" thickBot="1" x14ac:dyDescent="0.4">
      <c r="A20" s="111">
        <f t="shared" si="0"/>
        <v>9</v>
      </c>
      <c r="B20" s="1" t="s">
        <v>23</v>
      </c>
      <c r="C20" s="433">
        <f>+P20</f>
        <v>0.75421300000000002</v>
      </c>
      <c r="D20" s="433">
        <f>C20</f>
        <v>0.75421300000000002</v>
      </c>
      <c r="E20" s="137"/>
      <c r="F20" s="137"/>
      <c r="G20" s="111">
        <f t="shared" si="2"/>
        <v>9</v>
      </c>
      <c r="H20"/>
      <c r="L20" s="111">
        <f t="shared" si="1"/>
        <v>9</v>
      </c>
      <c r="M20" s="112" t="str">
        <f>"CONVERSION FACTOR INCL FEDERAL INCOME TAX ( LINE "&amp;L18&amp;" - LINE "&amp;L19&amp;" ) "</f>
        <v xml:space="preserve">CONVERSION FACTOR INCL FEDERAL INCOME TAX ( LINE 7 - LINE 8 ) </v>
      </c>
      <c r="P20" s="136">
        <f>ROUND(1-P19-P16,6)</f>
        <v>0.75421300000000002</v>
      </c>
      <c r="S20" s="111"/>
      <c r="T20" s="137"/>
      <c r="U20" s="114"/>
      <c r="V20"/>
      <c r="W20"/>
      <c r="X20"/>
      <c r="Y20"/>
      <c r="Z20"/>
      <c r="AA20"/>
      <c r="AB20"/>
    </row>
    <row r="21" spans="1:28" ht="15.5" thickTop="1" thickBot="1" x14ac:dyDescent="0.4">
      <c r="A21" s="111">
        <f t="shared" si="0"/>
        <v>10</v>
      </c>
      <c r="B21" s="1" t="s">
        <v>869</v>
      </c>
      <c r="C21" s="321">
        <f>ROUND(+C18/C20,0)</f>
        <v>220104658</v>
      </c>
      <c r="D21" s="321">
        <f>ROUND(+D18/D20,0)</f>
        <v>235123465</v>
      </c>
      <c r="E21" s="365"/>
      <c r="F21" s="365"/>
      <c r="G21" s="111">
        <f t="shared" si="2"/>
        <v>10</v>
      </c>
      <c r="H21" s="400">
        <v>2025</v>
      </c>
      <c r="I21" s="414"/>
      <c r="J21" s="414"/>
      <c r="K21" s="711"/>
      <c r="L21" s="111">
        <f t="shared" si="1"/>
        <v>10</v>
      </c>
      <c r="M21"/>
      <c r="N21"/>
      <c r="O21"/>
      <c r="P21"/>
      <c r="Q21"/>
      <c r="R21"/>
      <c r="S21" s="111"/>
      <c r="T21" s="121"/>
      <c r="U21" s="114"/>
      <c r="V21"/>
      <c r="W21"/>
      <c r="X21"/>
      <c r="Y21"/>
      <c r="Z21"/>
      <c r="AA21"/>
      <c r="AB21"/>
    </row>
    <row r="22" spans="1:28" ht="15" thickTop="1" x14ac:dyDescent="0.35">
      <c r="A22" s="111">
        <f t="shared" si="0"/>
        <v>11</v>
      </c>
      <c r="C22" s="118"/>
      <c r="D22" s="118"/>
      <c r="E22" s="118"/>
      <c r="F22" s="118"/>
      <c r="G22" s="111">
        <f t="shared" si="2"/>
        <v>11</v>
      </c>
      <c r="H22" s="83" t="s">
        <v>1902</v>
      </c>
      <c r="I22" s="130">
        <v>2.0400000000000001E-2</v>
      </c>
      <c r="J22" s="130">
        <v>5.0700000000000002E-2</v>
      </c>
      <c r="K22" s="251">
        <v>1.1999999999999999E-3</v>
      </c>
      <c r="L22" s="111">
        <f t="shared" si="1"/>
        <v>11</v>
      </c>
      <c r="M22"/>
      <c r="N22"/>
      <c r="O22"/>
      <c r="P22"/>
      <c r="Q22"/>
      <c r="R22"/>
      <c r="S22" s="111"/>
      <c r="U22" s="114"/>
      <c r="V22"/>
      <c r="W22"/>
      <c r="X22"/>
      <c r="Y22"/>
      <c r="Z22"/>
      <c r="AA22"/>
      <c r="AB22"/>
    </row>
    <row r="23" spans="1:28" ht="14.5" x14ac:dyDescent="0.35">
      <c r="A23" s="111">
        <f t="shared" si="0"/>
        <v>12</v>
      </c>
      <c r="B23" s="1" t="s">
        <v>952</v>
      </c>
      <c r="C23" s="365">
        <f>C21-0</f>
        <v>220104658</v>
      </c>
      <c r="D23" s="365">
        <f>D21-C21</f>
        <v>15018807</v>
      </c>
      <c r="E23" s="365"/>
      <c r="F23" s="365"/>
      <c r="G23" s="111">
        <f t="shared" si="2"/>
        <v>12</v>
      </c>
      <c r="H23" s="119" t="s">
        <v>1903</v>
      </c>
      <c r="I23" s="130">
        <v>0.49459999999999998</v>
      </c>
      <c r="J23" s="130">
        <v>5.2699999999999997E-2</v>
      </c>
      <c r="K23" s="251">
        <v>2.63E-2</v>
      </c>
      <c r="L23" s="111">
        <f t="shared" si="1"/>
        <v>12</v>
      </c>
      <c r="M23"/>
      <c r="N23"/>
      <c r="O23"/>
      <c r="P23"/>
      <c r="Q23"/>
      <c r="R23"/>
      <c r="S23" s="111"/>
      <c r="T23" s="134"/>
      <c r="U23" s="114"/>
      <c r="V23"/>
      <c r="W23"/>
      <c r="X23"/>
      <c r="Y23"/>
      <c r="Z23"/>
      <c r="AA23"/>
      <c r="AB23"/>
    </row>
    <row r="24" spans="1:28" ht="15.5" x14ac:dyDescent="0.35">
      <c r="A24" s="111">
        <f t="shared" si="0"/>
        <v>13</v>
      </c>
      <c r="B24" s="241" t="s">
        <v>1475</v>
      </c>
      <c r="C24" s="434"/>
      <c r="D24" s="716"/>
      <c r="E24" s="130"/>
      <c r="F24" s="121"/>
      <c r="G24" s="111">
        <f t="shared" si="2"/>
        <v>13</v>
      </c>
      <c r="H24" s="1281" t="s">
        <v>236</v>
      </c>
      <c r="I24" s="130">
        <f>+I22+I23</f>
        <v>0.51500000000000001</v>
      </c>
      <c r="J24" s="130"/>
      <c r="K24" s="1282">
        <f>+K22+K23</f>
        <v>2.75E-2</v>
      </c>
      <c r="M24"/>
      <c r="N24"/>
      <c r="O24"/>
      <c r="P24"/>
      <c r="Q24"/>
      <c r="R24"/>
      <c r="S24" s="111"/>
      <c r="T24" s="134"/>
      <c r="U24" s="114"/>
      <c r="V24"/>
      <c r="W24"/>
      <c r="X24"/>
      <c r="Y24"/>
      <c r="Z24"/>
      <c r="AA24"/>
      <c r="AB24"/>
    </row>
    <row r="25" spans="1:28" ht="15.75" customHeight="1" x14ac:dyDescent="0.35">
      <c r="A25" s="345">
        <f t="shared" si="0"/>
        <v>14</v>
      </c>
      <c r="B25" s="249" t="s">
        <v>1802</v>
      </c>
      <c r="C25" s="366"/>
      <c r="D25" s="130"/>
      <c r="F25"/>
      <c r="G25" s="111">
        <f t="shared" si="2"/>
        <v>14</v>
      </c>
      <c r="H25" s="119"/>
      <c r="I25" s="130"/>
      <c r="J25" s="130"/>
      <c r="K25" s="251"/>
      <c r="M25"/>
      <c r="N25"/>
      <c r="O25"/>
      <c r="P25"/>
      <c r="Q25"/>
      <c r="R25"/>
      <c r="S25" s="111"/>
      <c r="T25" s="134"/>
      <c r="U25" s="114"/>
      <c r="V25"/>
      <c r="W25"/>
      <c r="X25"/>
      <c r="Y25"/>
      <c r="Z25"/>
      <c r="AA25"/>
      <c r="AB25"/>
    </row>
    <row r="26" spans="1:28" ht="15" customHeight="1" x14ac:dyDescent="0.35">
      <c r="A26" s="345">
        <f t="shared" si="0"/>
        <v>15</v>
      </c>
      <c r="B26" s="249" t="s">
        <v>1587</v>
      </c>
      <c r="C26" s="366">
        <v>3931154.0677008959</v>
      </c>
      <c r="D26" s="130"/>
      <c r="E26" s="130"/>
      <c r="F26"/>
      <c r="G26" s="111">
        <f t="shared" si="2"/>
        <v>15</v>
      </c>
      <c r="H26" s="119" t="s">
        <v>178</v>
      </c>
      <c r="I26" s="130">
        <v>0.48499999999999999</v>
      </c>
      <c r="J26" s="130">
        <v>9.5000000000000001E-2</v>
      </c>
      <c r="K26" s="251">
        <f>+I26*J26</f>
        <v>4.6074999999999998E-2</v>
      </c>
      <c r="M26"/>
      <c r="N26"/>
      <c r="O26"/>
      <c r="P26"/>
      <c r="Q26"/>
      <c r="R26"/>
      <c r="S26" s="111"/>
      <c r="T26" s="134"/>
      <c r="U26" s="114"/>
      <c r="V26"/>
      <c r="W26"/>
      <c r="X26"/>
      <c r="Y26"/>
      <c r="Z26"/>
      <c r="AA26"/>
      <c r="AB26"/>
    </row>
    <row r="27" spans="1:28" ht="14.5" x14ac:dyDescent="0.35">
      <c r="A27" s="345">
        <f t="shared" si="0"/>
        <v>16</v>
      </c>
      <c r="B27" s="249" t="s">
        <v>1588</v>
      </c>
      <c r="C27" s="366">
        <v>-59540833.419087738</v>
      </c>
      <c r="D27" s="130"/>
      <c r="E27" s="130"/>
      <c r="F27"/>
      <c r="G27" s="111">
        <f t="shared" si="2"/>
        <v>16</v>
      </c>
      <c r="H27" s="119" t="s">
        <v>77</v>
      </c>
      <c r="I27" s="715">
        <f>SUM(I22:I26)</f>
        <v>1.5150000000000001</v>
      </c>
      <c r="J27" s="414"/>
      <c r="K27" s="1283">
        <f>+K24+K26</f>
        <v>7.3575000000000002E-2</v>
      </c>
      <c r="L27"/>
      <c r="M27"/>
      <c r="N27"/>
      <c r="O27"/>
      <c r="P27"/>
      <c r="Q27"/>
      <c r="R27"/>
      <c r="S27" s="111"/>
      <c r="T27" s="134"/>
      <c r="U27" s="114"/>
      <c r="V27"/>
      <c r="W27"/>
      <c r="X27"/>
      <c r="Y27"/>
      <c r="Z27"/>
      <c r="AA27"/>
      <c r="AB27"/>
    </row>
    <row r="28" spans="1:28" ht="15.75" customHeight="1" x14ac:dyDescent="0.35">
      <c r="A28" s="345">
        <f t="shared" si="0"/>
        <v>17</v>
      </c>
      <c r="B28" s="241" t="s">
        <v>1589</v>
      </c>
      <c r="C28" s="366"/>
      <c r="D28" s="130"/>
      <c r="E28" s="130"/>
      <c r="F28"/>
      <c r="G28" s="111">
        <f t="shared" si="2"/>
        <v>17</v>
      </c>
      <c r="H28" s="414"/>
      <c r="I28" s="414"/>
      <c r="J28" s="414"/>
      <c r="K28" s="414"/>
      <c r="M28"/>
      <c r="N28"/>
      <c r="O28"/>
      <c r="P28"/>
      <c r="Q28"/>
      <c r="R28"/>
      <c r="S28" s="111"/>
      <c r="T28" s="134"/>
      <c r="U28" s="114"/>
      <c r="V28"/>
      <c r="W28"/>
      <c r="X28"/>
      <c r="Y28"/>
      <c r="Z28"/>
      <c r="AA28"/>
      <c r="AB28"/>
    </row>
    <row r="29" spans="1:28" ht="14.5" x14ac:dyDescent="0.35">
      <c r="A29" s="345">
        <f>A28+1</f>
        <v>18</v>
      </c>
      <c r="B29" s="249" t="s">
        <v>1590</v>
      </c>
      <c r="C29" s="1355"/>
      <c r="D29" s="134">
        <v>0</v>
      </c>
      <c r="E29" s="130"/>
      <c r="F29"/>
      <c r="G29" s="111">
        <f>+G28+1</f>
        <v>18</v>
      </c>
      <c r="M29"/>
      <c r="N29"/>
      <c r="O29"/>
      <c r="P29"/>
      <c r="Q29"/>
      <c r="R29"/>
      <c r="S29" s="111"/>
      <c r="T29" s="134"/>
      <c r="U29" s="114"/>
      <c r="V29"/>
      <c r="W29"/>
      <c r="X29"/>
      <c r="Y29"/>
      <c r="Z29"/>
      <c r="AA29"/>
      <c r="AB29"/>
    </row>
    <row r="30" spans="1:28" ht="14.5" x14ac:dyDescent="0.35">
      <c r="A30" s="345">
        <f t="shared" si="0"/>
        <v>19</v>
      </c>
      <c r="B30" s="249"/>
      <c r="C30" s="366"/>
      <c r="D30" s="130"/>
      <c r="E30" s="130"/>
      <c r="F30"/>
      <c r="G30" s="111">
        <f t="shared" si="2"/>
        <v>19</v>
      </c>
      <c r="M30"/>
      <c r="N30"/>
      <c r="O30"/>
      <c r="P30"/>
      <c r="Q30"/>
      <c r="R30"/>
      <c r="S30" s="111"/>
      <c r="T30" s="134"/>
      <c r="U30" s="114"/>
      <c r="V30"/>
      <c r="W30"/>
      <c r="X30"/>
      <c r="Y30"/>
      <c r="Z30"/>
      <c r="AA30"/>
      <c r="AB30"/>
    </row>
    <row r="31" spans="1:28" ht="14.5" x14ac:dyDescent="0.35">
      <c r="A31" s="345">
        <f t="shared" si="0"/>
        <v>20</v>
      </c>
      <c r="B31" s="241" t="s">
        <v>1109</v>
      </c>
      <c r="C31" s="369">
        <f>SUM(C25:C30)</f>
        <v>-55609679.351386845</v>
      </c>
      <c r="D31" s="369">
        <f>SUM(D25:D30)</f>
        <v>0</v>
      </c>
      <c r="E31" s="114"/>
      <c r="F31"/>
      <c r="G31" s="111">
        <f t="shared" si="2"/>
        <v>20</v>
      </c>
      <c r="M31"/>
      <c r="N31"/>
      <c r="O31"/>
      <c r="P31"/>
      <c r="Q31"/>
      <c r="R31"/>
      <c r="S31" s="111"/>
      <c r="U31" s="114"/>
      <c r="V31"/>
      <c r="W31"/>
      <c r="X31"/>
      <c r="Y31"/>
      <c r="Z31"/>
      <c r="AA31"/>
      <c r="AB31"/>
    </row>
    <row r="32" spans="1:28" ht="14.5" x14ac:dyDescent="0.35">
      <c r="A32" s="345">
        <f t="shared" si="0"/>
        <v>21</v>
      </c>
      <c r="B32" s="241"/>
      <c r="C32" s="925"/>
      <c r="D32" s="925"/>
      <c r="E32" s="121"/>
      <c r="F32"/>
      <c r="G32" s="111">
        <f t="shared" si="2"/>
        <v>21</v>
      </c>
      <c r="H32"/>
      <c r="M32"/>
      <c r="N32"/>
      <c r="O32"/>
      <c r="P32"/>
      <c r="Q32"/>
      <c r="R32"/>
      <c r="S32" s="111"/>
      <c r="T32" s="121"/>
      <c r="U32" s="114"/>
      <c r="V32"/>
      <c r="W32"/>
      <c r="X32"/>
      <c r="Y32"/>
      <c r="Z32"/>
      <c r="AA32"/>
      <c r="AB32"/>
    </row>
    <row r="33" spans="1:28" ht="15" thickBot="1" x14ac:dyDescent="0.4">
      <c r="A33" s="345">
        <f t="shared" si="0"/>
        <v>22</v>
      </c>
      <c r="B33" s="241" t="s">
        <v>1110</v>
      </c>
      <c r="C33" s="370">
        <f>C23+C31</f>
        <v>164494978.64861315</v>
      </c>
      <c r="D33" s="370">
        <f>D23+D31</f>
        <v>15018807</v>
      </c>
      <c r="E33" s="130"/>
      <c r="F33"/>
      <c r="G33" s="111">
        <f t="shared" si="2"/>
        <v>22</v>
      </c>
      <c r="H33" s="400">
        <v>2026</v>
      </c>
      <c r="I33" s="414"/>
      <c r="J33" s="414"/>
      <c r="K33" s="711"/>
      <c r="M33"/>
      <c r="N33"/>
      <c r="O33"/>
      <c r="P33"/>
      <c r="Q33"/>
      <c r="R33"/>
      <c r="S33" s="111"/>
      <c r="T33" s="121"/>
      <c r="U33" s="114"/>
      <c r="V33"/>
      <c r="W33"/>
      <c r="X33"/>
      <c r="Y33"/>
      <c r="Z33"/>
      <c r="AA33"/>
      <c r="AB33"/>
    </row>
    <row r="34" spans="1:28" ht="15" thickTop="1" x14ac:dyDescent="0.35">
      <c r="A34" s="345">
        <f t="shared" si="0"/>
        <v>23</v>
      </c>
      <c r="B34" s="241"/>
      <c r="C34" s="926"/>
      <c r="D34" s="118"/>
      <c r="E34" s="178"/>
      <c r="F34"/>
      <c r="G34" s="111">
        <f t="shared" si="2"/>
        <v>23</v>
      </c>
      <c r="H34" s="83" t="s">
        <v>1902</v>
      </c>
      <c r="I34" s="130">
        <v>1.18E-2</v>
      </c>
      <c r="J34" s="130">
        <v>4.0800000000000003E-2</v>
      </c>
      <c r="K34" s="251">
        <v>5.9999999999999995E-4</v>
      </c>
      <c r="M34"/>
      <c r="N34"/>
      <c r="O34"/>
      <c r="P34"/>
      <c r="Q34"/>
      <c r="R34"/>
      <c r="S34" s="111"/>
      <c r="T34" s="121"/>
      <c r="U34" s="114"/>
      <c r="V34"/>
      <c r="W34"/>
      <c r="X34"/>
      <c r="Y34"/>
      <c r="Z34"/>
      <c r="AA34"/>
      <c r="AB34"/>
    </row>
    <row r="35" spans="1:28" ht="14.5" x14ac:dyDescent="0.35">
      <c r="A35" s="345">
        <f t="shared" si="0"/>
        <v>24</v>
      </c>
      <c r="B35" s="241"/>
      <c r="C35" s="430"/>
      <c r="D35" s="430"/>
      <c r="F35"/>
      <c r="G35" s="111">
        <f t="shared" si="2"/>
        <v>24</v>
      </c>
      <c r="H35" s="119" t="s">
        <v>1903</v>
      </c>
      <c r="I35" s="130">
        <v>0.50319999999999998</v>
      </c>
      <c r="J35" s="130">
        <v>5.3600000000000002E-2</v>
      </c>
      <c r="K35" s="251">
        <v>2.7099999999999999E-2</v>
      </c>
      <c r="M35"/>
      <c r="N35"/>
      <c r="O35"/>
      <c r="P35"/>
      <c r="Q35"/>
      <c r="R35"/>
      <c r="S35" s="111"/>
      <c r="T35" s="121"/>
      <c r="U35" s="114"/>
      <c r="V35"/>
      <c r="W35"/>
      <c r="X35"/>
      <c r="Y35"/>
      <c r="Z35"/>
      <c r="AA35"/>
      <c r="AB35"/>
    </row>
    <row r="36" spans="1:28" ht="15" customHeight="1" x14ac:dyDescent="0.35">
      <c r="A36" s="345">
        <f t="shared" si="0"/>
        <v>25</v>
      </c>
      <c r="B36" s="241"/>
      <c r="C36" s="245"/>
      <c r="D36" s="245"/>
      <c r="G36" s="111">
        <f t="shared" si="2"/>
        <v>25</v>
      </c>
      <c r="H36" s="1281" t="s">
        <v>236</v>
      </c>
      <c r="I36" s="130">
        <f>+I34+I35</f>
        <v>0.51500000000000001</v>
      </c>
      <c r="J36" s="130"/>
      <c r="K36" s="1282">
        <f>+K34+K35</f>
        <v>2.7699999999999999E-2</v>
      </c>
      <c r="M36"/>
      <c r="N36"/>
      <c r="O36"/>
      <c r="P36"/>
      <c r="Q36"/>
      <c r="R36"/>
      <c r="S36" s="111"/>
      <c r="T36" s="121"/>
      <c r="U36" s="114"/>
      <c r="V36"/>
      <c r="W36"/>
      <c r="X36"/>
      <c r="Y36"/>
      <c r="Z36"/>
      <c r="AA36"/>
      <c r="AB36"/>
    </row>
    <row r="37" spans="1:28" ht="14.5" x14ac:dyDescent="0.35">
      <c r="A37" s="345"/>
      <c r="B37" s="927"/>
      <c r="C37" s="241"/>
      <c r="D37" s="241"/>
      <c r="E37"/>
      <c r="F37"/>
      <c r="G37" s="111">
        <f t="shared" si="2"/>
        <v>26</v>
      </c>
      <c r="H37" s="119"/>
      <c r="I37" s="130"/>
      <c r="J37" s="130"/>
      <c r="K37" s="251"/>
      <c r="M37"/>
      <c r="N37"/>
      <c r="O37"/>
      <c r="P37"/>
      <c r="Q37"/>
      <c r="R37"/>
      <c r="S37" s="111"/>
      <c r="T37" s="114"/>
      <c r="U37" s="114"/>
      <c r="V37"/>
      <c r="W37"/>
      <c r="X37"/>
      <c r="Y37"/>
      <c r="Z37"/>
      <c r="AA37"/>
      <c r="AB37"/>
    </row>
    <row r="38" spans="1:28" ht="14.5" x14ac:dyDescent="0.35">
      <c r="A38" s="345"/>
      <c r="F38"/>
      <c r="G38" s="111">
        <f t="shared" si="2"/>
        <v>27</v>
      </c>
      <c r="H38" s="119" t="s">
        <v>178</v>
      </c>
      <c r="I38" s="130">
        <v>0.48499999999999999</v>
      </c>
      <c r="J38" s="130">
        <v>9.5000000000000001E-2</v>
      </c>
      <c r="K38" s="251">
        <f>ROUND(I38*J38,4)</f>
        <v>4.6100000000000002E-2</v>
      </c>
      <c r="M38"/>
      <c r="N38"/>
      <c r="O38"/>
      <c r="P38"/>
      <c r="Q38"/>
      <c r="R38"/>
      <c r="S38"/>
      <c r="T38"/>
      <c r="U38"/>
      <c r="V38"/>
      <c r="W38"/>
      <c r="X38"/>
      <c r="Y38"/>
      <c r="Z38"/>
      <c r="AA38"/>
      <c r="AB38"/>
    </row>
    <row r="39" spans="1:28" ht="14.5" outlineLevel="1" x14ac:dyDescent="0.35">
      <c r="A39" s="345"/>
      <c r="F39"/>
      <c r="G39" s="111">
        <f t="shared" si="2"/>
        <v>28</v>
      </c>
      <c r="H39" s="119" t="s">
        <v>77</v>
      </c>
      <c r="I39" s="716">
        <f>SUM(I35:I38)</f>
        <v>1.5032000000000001</v>
      </c>
      <c r="J39" s="414"/>
      <c r="K39" s="1283">
        <v>7.3700000000000002E-2</v>
      </c>
      <c r="L39"/>
      <c r="M39"/>
      <c r="N39"/>
      <c r="O39"/>
      <c r="P39"/>
      <c r="Q39"/>
      <c r="R39"/>
      <c r="S39"/>
      <c r="T39"/>
      <c r="U39"/>
      <c r="V39"/>
      <c r="W39"/>
      <c r="X39"/>
      <c r="Y39"/>
      <c r="Z39"/>
      <c r="AA39"/>
      <c r="AB39"/>
    </row>
    <row r="40" spans="1:28" ht="14.5" outlineLevel="1" x14ac:dyDescent="0.35">
      <c r="A40" s="345"/>
      <c r="F40"/>
      <c r="G40" s="111">
        <f t="shared" si="2"/>
        <v>29</v>
      </c>
      <c r="H40" s="414"/>
      <c r="I40" s="414"/>
      <c r="J40" s="414"/>
      <c r="K40" s="414"/>
      <c r="L40"/>
      <c r="M40"/>
      <c r="N40"/>
      <c r="O40"/>
      <c r="P40"/>
      <c r="Q40"/>
      <c r="R40"/>
      <c r="S40"/>
      <c r="T40"/>
      <c r="U40"/>
      <c r="V40"/>
      <c r="W40"/>
      <c r="X40"/>
      <c r="Y40"/>
      <c r="Z40"/>
      <c r="AA40"/>
      <c r="AB40"/>
    </row>
    <row r="41" spans="1:28" ht="14.5" outlineLevel="1" x14ac:dyDescent="0.35">
      <c r="A41" s="345"/>
      <c r="F41"/>
      <c r="G41" s="111">
        <f t="shared" si="2"/>
        <v>30</v>
      </c>
      <c r="L41"/>
      <c r="M41"/>
      <c r="N41"/>
      <c r="O41"/>
      <c r="P41"/>
      <c r="Q41"/>
      <c r="R41"/>
      <c r="S41"/>
      <c r="T41"/>
      <c r="U41"/>
      <c r="V41"/>
      <c r="W41"/>
      <c r="X41"/>
      <c r="Y41"/>
      <c r="Z41"/>
      <c r="AA41"/>
      <c r="AB41"/>
    </row>
    <row r="42" spans="1:28" ht="14.5" outlineLevel="1" x14ac:dyDescent="0.35">
      <c r="A42" s="345"/>
      <c r="F42"/>
      <c r="G42"/>
      <c r="L42"/>
      <c r="M42"/>
      <c r="N42"/>
      <c r="O42"/>
      <c r="P42"/>
      <c r="Q42"/>
      <c r="R42"/>
      <c r="S42"/>
      <c r="T42"/>
      <c r="U42"/>
      <c r="V42"/>
      <c r="W42"/>
      <c r="X42"/>
      <c r="Y42"/>
      <c r="Z42"/>
      <c r="AA42"/>
      <c r="AB42"/>
    </row>
    <row r="43" spans="1:28" ht="14.5" outlineLevel="1" x14ac:dyDescent="0.35">
      <c r="A43" s="345"/>
      <c r="B43" s="1110" t="str">
        <f>CONCATENATE("Check line ",ROW(A21)," s/b $0 ===&gt;")</f>
        <v>Check line 21 s/b $0 ===&gt;</v>
      </c>
      <c r="C43" s="1111">
        <f>ROUND('Summary DPK-7 '!K65-C21,0)</f>
        <v>0</v>
      </c>
      <c r="D43" s="1111">
        <f>ROUND('Summary DPK-7 '!M65-D21,0)</f>
        <v>0</v>
      </c>
      <c r="E43"/>
      <c r="F43"/>
      <c r="G43"/>
      <c r="L43"/>
      <c r="M43"/>
      <c r="N43"/>
      <c r="O43"/>
      <c r="P43"/>
      <c r="Q43"/>
      <c r="R43"/>
      <c r="S43"/>
      <c r="T43"/>
      <c r="U43"/>
      <c r="V43"/>
      <c r="W43"/>
      <c r="X43"/>
      <c r="Y43"/>
      <c r="Z43"/>
      <c r="AA43"/>
      <c r="AB43"/>
    </row>
    <row r="44" spans="1:28" ht="14.5" outlineLevel="1" x14ac:dyDescent="0.35">
      <c r="A44" s="345"/>
      <c r="B44" s="1110" t="str">
        <f>CONCATENATE("Check line ",ROW(A23)," s/b $0 ===&gt;")</f>
        <v>Check line 23 s/b $0 ===&gt;</v>
      </c>
      <c r="C44" s="1111">
        <f>ROUND('Summary DPK-7 '!K71-C23,0)</f>
        <v>0</v>
      </c>
      <c r="D44" s="1111">
        <f>ROUND('Summary DPK-7 '!M71-D23,0)+D47</f>
        <v>0</v>
      </c>
      <c r="E44"/>
      <c r="F44"/>
      <c r="G44"/>
      <c r="H44" s="397"/>
      <c r="I44"/>
      <c r="J44"/>
      <c r="K44"/>
      <c r="L44"/>
      <c r="M44"/>
      <c r="N44"/>
      <c r="O44"/>
      <c r="P44"/>
      <c r="Q44"/>
      <c r="R44"/>
      <c r="S44"/>
      <c r="T44"/>
      <c r="U44"/>
      <c r="V44"/>
      <c r="W44"/>
      <c r="X44"/>
      <c r="Y44"/>
      <c r="Z44"/>
      <c r="AA44"/>
      <c r="AB44"/>
    </row>
    <row r="45" spans="1:28" ht="15" customHeight="1" outlineLevel="1" x14ac:dyDescent="0.35">
      <c r="A45" s="345"/>
      <c r="B45" s="1110" t="str">
        <f>CONCATENATE("Check line ",ROW(A33)," s/b $0 ===&gt;")</f>
        <v>Check line 33 s/b $0 ===&gt;</v>
      </c>
      <c r="C45" s="1111">
        <f>ROUND('Summary DPK-7 '!K81-C33,0)</f>
        <v>0</v>
      </c>
      <c r="D45" s="1111">
        <f>ROUND('Summary DPK-7 '!M81-D33,0)</f>
        <v>0</v>
      </c>
      <c r="E45"/>
      <c r="F45"/>
      <c r="G45"/>
      <c r="H45"/>
      <c r="I45"/>
      <c r="J45"/>
      <c r="K45"/>
      <c r="L45"/>
      <c r="M45"/>
      <c r="N45"/>
      <c r="O45"/>
      <c r="P45"/>
      <c r="Q45"/>
      <c r="R45"/>
      <c r="S45"/>
      <c r="T45"/>
      <c r="U45"/>
      <c r="V45"/>
      <c r="W45"/>
      <c r="X45"/>
      <c r="Y45"/>
      <c r="Z45"/>
      <c r="AA45"/>
      <c r="AB45"/>
    </row>
    <row r="46" spans="1:28" ht="14.5" outlineLevel="1" x14ac:dyDescent="0.35">
      <c r="A46" s="345"/>
      <c r="B46" s="1112"/>
      <c r="C46" s="1112"/>
      <c r="D46" s="1112"/>
      <c r="E46"/>
      <c r="F46"/>
      <c r="G46"/>
      <c r="H46"/>
      <c r="I46"/>
      <c r="J46"/>
      <c r="K46"/>
      <c r="L46"/>
      <c r="M46"/>
      <c r="N46"/>
      <c r="O46"/>
      <c r="P46"/>
      <c r="Q46"/>
      <c r="R46"/>
      <c r="S46"/>
      <c r="T46"/>
      <c r="U46"/>
      <c r="V46"/>
      <c r="W46"/>
      <c r="X46"/>
      <c r="Y46"/>
      <c r="Z46"/>
      <c r="AA46"/>
      <c r="AB46"/>
    </row>
    <row r="47" spans="1:28" customFormat="1" ht="14.5" outlineLevel="1" x14ac:dyDescent="0.35">
      <c r="A47" s="345"/>
      <c r="B47" s="1112"/>
      <c r="C47" s="1112"/>
      <c r="D47" s="1111"/>
      <c r="H47" s="1"/>
      <c r="I47" s="1"/>
      <c r="J47" s="1"/>
      <c r="K47" s="1"/>
    </row>
    <row r="48" spans="1:28" ht="14.5" outlineLevel="1" x14ac:dyDescent="0.35">
      <c r="A48" s="345"/>
      <c r="B48" s="1110"/>
      <c r="C48" s="1112"/>
      <c r="D48" s="1112"/>
      <c r="E48"/>
      <c r="F48"/>
      <c r="G48"/>
      <c r="H48"/>
      <c r="I48"/>
      <c r="J48"/>
      <c r="K48"/>
      <c r="L48"/>
      <c r="M48"/>
      <c r="N48"/>
      <c r="O48"/>
      <c r="P48"/>
      <c r="Q48"/>
      <c r="R48"/>
      <c r="S48"/>
      <c r="T48"/>
      <c r="U48"/>
      <c r="V48"/>
      <c r="W48"/>
      <c r="X48"/>
      <c r="Y48"/>
      <c r="Z48"/>
      <c r="AA48"/>
      <c r="AB48"/>
    </row>
    <row r="49" spans="1:28" ht="14.5" outlineLevel="1" x14ac:dyDescent="0.35">
      <c r="A49" s="345"/>
      <c r="B49" s="1113"/>
      <c r="C49" s="1112"/>
      <c r="D49" s="1112"/>
      <c r="E49"/>
      <c r="F49"/>
      <c r="G49"/>
      <c r="H49"/>
      <c r="I49"/>
      <c r="J49"/>
      <c r="K49"/>
      <c r="L49"/>
      <c r="M49"/>
      <c r="N49"/>
      <c r="O49"/>
      <c r="P49"/>
      <c r="Q49"/>
      <c r="R49"/>
      <c r="S49"/>
      <c r="T49"/>
      <c r="U49"/>
      <c r="V49"/>
      <c r="W49"/>
      <c r="X49"/>
      <c r="Y49"/>
      <c r="Z49"/>
      <c r="AA49"/>
      <c r="AB49"/>
    </row>
    <row r="50" spans="1:28" ht="14.5" outlineLevel="1" x14ac:dyDescent="0.35">
      <c r="A50" s="345"/>
      <c r="B50" s="1110" t="str">
        <f>CONCATENATE("Check line ",ROW(A33)," s/b $0 ===&gt;")</f>
        <v>Check line 33 s/b $0 ===&gt;</v>
      </c>
      <c r="C50" s="1111">
        <v>11657126</v>
      </c>
      <c r="D50" s="1111">
        <v>8824308</v>
      </c>
      <c r="E50" s="1186" t="s">
        <v>1867</v>
      </c>
      <c r="F50"/>
      <c r="G50"/>
      <c r="H50"/>
      <c r="I50"/>
      <c r="J50"/>
      <c r="K50"/>
      <c r="L50"/>
      <c r="M50"/>
      <c r="N50"/>
      <c r="O50"/>
      <c r="P50"/>
      <c r="Q50"/>
      <c r="R50"/>
      <c r="S50"/>
      <c r="T50"/>
      <c r="U50"/>
      <c r="V50"/>
      <c r="W50"/>
      <c r="X50"/>
      <c r="Y50"/>
      <c r="Z50"/>
      <c r="AA50"/>
      <c r="AB50"/>
    </row>
    <row r="51" spans="1:28" ht="14.5" outlineLevel="1" x14ac:dyDescent="0.35">
      <c r="A51" s="345"/>
      <c r="B51" s="1110" t="str">
        <f>CONCATENATE("Check line ",ROW(A35)," s/b $0 ===&gt;")</f>
        <v>Check line 35 s/b $0 ===&gt;</v>
      </c>
      <c r="C51" s="1185">
        <v>1.1299999999999999E-2</v>
      </c>
      <c r="D51" s="1185">
        <v>7.1999999999999998E-3</v>
      </c>
      <c r="E51" s="1186" t="s">
        <v>1867</v>
      </c>
      <c r="F51"/>
      <c r="G51"/>
      <c r="H51"/>
      <c r="I51"/>
      <c r="J51"/>
      <c r="K51"/>
      <c r="L51"/>
      <c r="M51"/>
      <c r="N51"/>
      <c r="O51"/>
      <c r="P51"/>
      <c r="Q51"/>
      <c r="R51"/>
      <c r="S51"/>
      <c r="T51"/>
      <c r="U51"/>
      <c r="V51"/>
      <c r="W51"/>
      <c r="X51"/>
      <c r="Y51"/>
      <c r="Z51"/>
      <c r="AA51"/>
      <c r="AB51"/>
    </row>
    <row r="52" spans="1:28" ht="14.5" outlineLevel="1" x14ac:dyDescent="0.35">
      <c r="A52" s="345"/>
      <c r="B52" s="1110" t="str">
        <f>CONCATENATE("Check line ",ROW(A36)," s/b $0 ===&gt;")</f>
        <v>Check line 36 s/b $0 ===&gt;</v>
      </c>
      <c r="C52" s="1111">
        <v>0</v>
      </c>
      <c r="D52" s="1111">
        <v>0</v>
      </c>
      <c r="E52" s="1186" t="s">
        <v>1867</v>
      </c>
      <c r="F52"/>
      <c r="G52"/>
      <c r="H52"/>
      <c r="I52"/>
      <c r="J52"/>
      <c r="K52"/>
      <c r="L52"/>
      <c r="M52"/>
      <c r="N52"/>
      <c r="O52"/>
      <c r="P52"/>
      <c r="Q52"/>
      <c r="R52"/>
      <c r="S52"/>
      <c r="T52"/>
      <c r="U52"/>
      <c r="V52"/>
      <c r="W52"/>
      <c r="X52"/>
      <c r="Y52"/>
      <c r="Z52"/>
      <c r="AA52"/>
      <c r="AB52"/>
    </row>
    <row r="53" spans="1:28" ht="14.5" outlineLevel="1" x14ac:dyDescent="0.35">
      <c r="A53" s="345"/>
      <c r="B53" s="413"/>
      <c r="C53" s="895"/>
      <c r="D53" s="895"/>
      <c r="E53"/>
      <c r="F53"/>
      <c r="G53"/>
      <c r="H53"/>
      <c r="I53"/>
      <c r="J53"/>
      <c r="K53"/>
      <c r="L53"/>
      <c r="M53"/>
      <c r="N53"/>
      <c r="O53"/>
      <c r="P53"/>
      <c r="Q53"/>
      <c r="R53"/>
      <c r="S53"/>
      <c r="T53"/>
      <c r="U53"/>
      <c r="V53"/>
      <c r="W53"/>
      <c r="X53"/>
      <c r="Y53"/>
      <c r="Z53"/>
      <c r="AA53"/>
      <c r="AB53"/>
    </row>
    <row r="54" spans="1:28" ht="14.5" outlineLevel="1" x14ac:dyDescent="0.35">
      <c r="A54" s="345"/>
      <c r="B54" s="413"/>
      <c r="C54" s="895"/>
      <c r="D54" s="895"/>
      <c r="E54"/>
      <c r="F54"/>
      <c r="G54"/>
      <c r="H54"/>
      <c r="I54"/>
      <c r="J54"/>
      <c r="K54"/>
      <c r="L54"/>
      <c r="M54"/>
      <c r="N54"/>
      <c r="O54"/>
      <c r="P54"/>
      <c r="Q54"/>
      <c r="R54"/>
      <c r="S54"/>
      <c r="T54"/>
      <c r="U54"/>
      <c r="V54"/>
      <c r="W54"/>
      <c r="X54"/>
      <c r="Y54"/>
      <c r="Z54"/>
      <c r="AA54"/>
      <c r="AB54"/>
    </row>
    <row r="55" spans="1:28" ht="14.5" outlineLevel="1" x14ac:dyDescent="0.35">
      <c r="A55" s="345"/>
      <c r="B55" s="413"/>
      <c r="C55" s="895"/>
      <c r="D55" s="895"/>
      <c r="E55"/>
      <c r="F55"/>
      <c r="G55"/>
      <c r="H55"/>
      <c r="I55"/>
      <c r="J55"/>
      <c r="K55"/>
      <c r="L55"/>
      <c r="M55"/>
      <c r="N55"/>
      <c r="O55"/>
      <c r="P55"/>
      <c r="Q55"/>
      <c r="R55"/>
      <c r="S55"/>
      <c r="T55"/>
      <c r="U55"/>
      <c r="V55"/>
      <c r="W55"/>
      <c r="X55"/>
      <c r="Y55"/>
      <c r="Z55"/>
      <c r="AA55"/>
      <c r="AB55"/>
    </row>
    <row r="56" spans="1:28" ht="14.5" x14ac:dyDescent="0.35">
      <c r="A56" s="345"/>
      <c r="B56" s="413"/>
      <c r="C56" s="895"/>
      <c r="D56" s="895"/>
      <c r="E56"/>
      <c r="F56"/>
      <c r="G56"/>
      <c r="H56"/>
      <c r="I56"/>
      <c r="J56"/>
      <c r="K56"/>
      <c r="L56"/>
      <c r="M56"/>
      <c r="N56"/>
      <c r="O56"/>
      <c r="P56"/>
      <c r="Q56"/>
      <c r="R56"/>
      <c r="S56"/>
      <c r="T56"/>
      <c r="U56"/>
      <c r="V56"/>
      <c r="W56"/>
      <c r="X56"/>
      <c r="Y56"/>
      <c r="Z56"/>
      <c r="AA56"/>
      <c r="AB56"/>
    </row>
    <row r="57" spans="1:28" ht="14.5" x14ac:dyDescent="0.35">
      <c r="A57" s="111"/>
      <c r="B57"/>
      <c r="C57"/>
      <c r="D57"/>
      <c r="E57"/>
      <c r="F57"/>
      <c r="G57"/>
      <c r="H57"/>
      <c r="I57"/>
      <c r="J57"/>
      <c r="K57"/>
      <c r="L57"/>
      <c r="M57"/>
      <c r="S57"/>
      <c r="T57"/>
      <c r="U57"/>
      <c r="V57"/>
      <c r="W57"/>
      <c r="X57"/>
      <c r="Y57"/>
      <c r="Z57"/>
      <c r="AA57"/>
      <c r="AB57"/>
    </row>
    <row r="58" spans="1:28" ht="14.5" x14ac:dyDescent="0.35">
      <c r="A58" s="111"/>
      <c r="B58"/>
      <c r="C58"/>
      <c r="D58"/>
      <c r="E58"/>
      <c r="F58"/>
      <c r="G58"/>
      <c r="H58"/>
      <c r="I58"/>
      <c r="J58"/>
      <c r="K58"/>
      <c r="L58"/>
      <c r="M58"/>
      <c r="S58"/>
      <c r="T58"/>
      <c r="U58"/>
      <c r="V58"/>
      <c r="W58"/>
      <c r="X58"/>
      <c r="Y58"/>
      <c r="Z58"/>
      <c r="AA58"/>
      <c r="AB58"/>
    </row>
    <row r="59" spans="1:28" ht="14.5" x14ac:dyDescent="0.35">
      <c r="A59" s="111"/>
      <c r="B59" s="249"/>
      <c r="C59"/>
      <c r="D59"/>
      <c r="E59"/>
      <c r="F59"/>
      <c r="G59"/>
      <c r="H59"/>
      <c r="I59"/>
      <c r="J59"/>
      <c r="K59"/>
      <c r="L59"/>
      <c r="M59"/>
      <c r="S59"/>
      <c r="T59"/>
      <c r="U59"/>
      <c r="V59"/>
      <c r="W59"/>
      <c r="X59"/>
      <c r="Y59"/>
      <c r="Z59"/>
      <c r="AA59"/>
      <c r="AB59"/>
    </row>
    <row r="60" spans="1:28" ht="14.5" x14ac:dyDescent="0.35">
      <c r="A60" s="111"/>
      <c r="B60" s="249"/>
      <c r="C60"/>
      <c r="D60"/>
      <c r="E60"/>
      <c r="F60"/>
      <c r="G60"/>
      <c r="H60"/>
      <c r="I60"/>
      <c r="J60"/>
      <c r="K60"/>
      <c r="L60"/>
      <c r="M60"/>
      <c r="S60"/>
      <c r="T60"/>
      <c r="U60"/>
      <c r="V60"/>
      <c r="W60"/>
      <c r="X60"/>
      <c r="Y60"/>
      <c r="Z60"/>
      <c r="AA60"/>
      <c r="AB60"/>
    </row>
    <row r="61" spans="1:28" ht="14.5" x14ac:dyDescent="0.35">
      <c r="A61" s="111"/>
      <c r="B61" s="249"/>
      <c r="C61"/>
      <c r="D61"/>
      <c r="E61"/>
      <c r="F61"/>
      <c r="G61"/>
      <c r="H61"/>
      <c r="I61"/>
      <c r="J61"/>
      <c r="K61"/>
      <c r="L61"/>
      <c r="M61"/>
      <c r="S61"/>
      <c r="T61"/>
      <c r="U61"/>
      <c r="V61"/>
      <c r="W61"/>
      <c r="X61"/>
      <c r="Y61"/>
      <c r="Z61"/>
      <c r="AA61"/>
      <c r="AB61"/>
    </row>
    <row r="62" spans="1:28" ht="14.5" x14ac:dyDescent="0.35">
      <c r="A62" s="111"/>
      <c r="B62"/>
      <c r="C62"/>
      <c r="D62"/>
      <c r="E62"/>
      <c r="F62"/>
      <c r="G62"/>
      <c r="H62"/>
      <c r="I62"/>
      <c r="J62"/>
      <c r="K62"/>
      <c r="L62"/>
      <c r="M62"/>
      <c r="S62"/>
      <c r="T62"/>
      <c r="U62"/>
      <c r="V62"/>
      <c r="W62"/>
      <c r="X62"/>
      <c r="Y62"/>
      <c r="Z62"/>
      <c r="AA62"/>
      <c r="AB62"/>
    </row>
    <row r="63" spans="1:28" ht="14.5" x14ac:dyDescent="0.35">
      <c r="A63" s="111"/>
      <c r="B63"/>
      <c r="C63"/>
      <c r="D63"/>
      <c r="E63"/>
      <c r="F63"/>
      <c r="G63"/>
      <c r="H63"/>
      <c r="I63"/>
      <c r="J63"/>
      <c r="K63"/>
      <c r="L63"/>
      <c r="M63"/>
      <c r="S63"/>
      <c r="T63"/>
      <c r="U63"/>
      <c r="V63"/>
      <c r="W63"/>
      <c r="X63"/>
      <c r="Y63"/>
      <c r="Z63"/>
      <c r="AA63"/>
      <c r="AB63"/>
    </row>
    <row r="64" spans="1:28" ht="14.5" x14ac:dyDescent="0.35">
      <c r="A64" s="111"/>
      <c r="B64"/>
      <c r="C64"/>
      <c r="D64"/>
      <c r="E64"/>
      <c r="F64"/>
      <c r="G64"/>
      <c r="H64"/>
      <c r="I64"/>
      <c r="J64"/>
      <c r="K64"/>
      <c r="L64"/>
      <c r="M64"/>
      <c r="S64"/>
      <c r="T64"/>
      <c r="U64"/>
      <c r="V64"/>
      <c r="W64"/>
      <c r="X64"/>
      <c r="Y64"/>
      <c r="Z64"/>
      <c r="AA64"/>
      <c r="AB64"/>
    </row>
    <row r="65" spans="1:28" ht="14.5" outlineLevel="1" x14ac:dyDescent="0.35">
      <c r="A65" s="111"/>
      <c r="B65"/>
      <c r="C65"/>
      <c r="D65"/>
      <c r="E65"/>
      <c r="F65"/>
      <c r="G65"/>
      <c r="H65"/>
      <c r="I65"/>
      <c r="J65"/>
      <c r="K65"/>
      <c r="L65"/>
      <c r="M65"/>
      <c r="S65"/>
      <c r="T65"/>
      <c r="U65"/>
      <c r="V65"/>
      <c r="W65"/>
      <c r="X65"/>
      <c r="Y65"/>
      <c r="Z65"/>
      <c r="AA65"/>
      <c r="AB65"/>
    </row>
    <row r="66" spans="1:28" ht="14.5" outlineLevel="1" x14ac:dyDescent="0.35">
      <c r="A66" s="111"/>
      <c r="B66"/>
      <c r="C66"/>
      <c r="D66"/>
      <c r="E66"/>
      <c r="F66"/>
      <c r="G66"/>
      <c r="H66"/>
      <c r="I66"/>
      <c r="J66"/>
      <c r="K66"/>
      <c r="L66"/>
      <c r="M66"/>
      <c r="S66"/>
      <c r="T66"/>
      <c r="U66"/>
      <c r="V66"/>
      <c r="W66"/>
      <c r="X66"/>
      <c r="Y66"/>
      <c r="Z66"/>
      <c r="AA66"/>
      <c r="AB66"/>
    </row>
    <row r="67" spans="1:28" ht="14.5" outlineLevel="1" x14ac:dyDescent="0.35">
      <c r="A67" s="111"/>
      <c r="B67"/>
      <c r="C67"/>
      <c r="D67"/>
      <c r="E67"/>
      <c r="F67"/>
      <c r="G67"/>
      <c r="H67"/>
      <c r="I67"/>
      <c r="J67"/>
      <c r="K67"/>
      <c r="L67"/>
      <c r="M67"/>
      <c r="S67"/>
      <c r="T67"/>
      <c r="U67"/>
      <c r="V67"/>
      <c r="W67"/>
      <c r="X67"/>
      <c r="Y67"/>
      <c r="Z67"/>
      <c r="AA67"/>
      <c r="AB67"/>
    </row>
    <row r="68" spans="1:28" ht="14.5" outlineLevel="1" x14ac:dyDescent="0.35">
      <c r="A68" s="111"/>
      <c r="B68"/>
      <c r="C68"/>
      <c r="D68"/>
      <c r="E68"/>
      <c r="F68"/>
      <c r="G68"/>
      <c r="H68"/>
      <c r="I68"/>
      <c r="J68"/>
      <c r="K68"/>
      <c r="L68"/>
      <c r="M68"/>
      <c r="S68"/>
      <c r="T68"/>
      <c r="U68"/>
      <c r="V68"/>
      <c r="W68"/>
      <c r="X68"/>
      <c r="Y68"/>
      <c r="Z68"/>
      <c r="AA68"/>
      <c r="AB68"/>
    </row>
    <row r="69" spans="1:28" ht="14.5" outlineLevel="1" x14ac:dyDescent="0.35">
      <c r="A69" s="111"/>
      <c r="B69"/>
      <c r="C69"/>
      <c r="D69"/>
      <c r="E69"/>
      <c r="F69"/>
      <c r="G69"/>
      <c r="H69"/>
      <c r="I69"/>
      <c r="J69"/>
      <c r="K69"/>
      <c r="L69"/>
      <c r="M69"/>
      <c r="S69"/>
      <c r="T69"/>
      <c r="U69"/>
      <c r="V69"/>
      <c r="W69"/>
      <c r="X69"/>
      <c r="Y69"/>
      <c r="Z69"/>
      <c r="AA69"/>
      <c r="AB69"/>
    </row>
    <row r="70" spans="1:28" ht="14.5" outlineLevel="1" x14ac:dyDescent="0.35">
      <c r="A70" s="111"/>
      <c r="B70"/>
      <c r="C70"/>
      <c r="D70"/>
      <c r="E70"/>
      <c r="F70"/>
      <c r="G70"/>
      <c r="H70"/>
      <c r="I70"/>
      <c r="J70"/>
      <c r="K70"/>
      <c r="L70"/>
      <c r="M70"/>
      <c r="S70"/>
      <c r="T70"/>
      <c r="U70"/>
      <c r="V70"/>
      <c r="W70"/>
      <c r="X70"/>
      <c r="Y70"/>
      <c r="Z70"/>
      <c r="AA70"/>
      <c r="AB70"/>
    </row>
    <row r="71" spans="1:28" ht="14.5" outlineLevel="1" x14ac:dyDescent="0.35">
      <c r="A71" s="111"/>
      <c r="B71"/>
      <c r="C71"/>
      <c r="D71"/>
      <c r="E71"/>
      <c r="F71"/>
      <c r="G71"/>
      <c r="H71"/>
      <c r="I71"/>
      <c r="J71"/>
      <c r="K71"/>
      <c r="L71"/>
      <c r="M71"/>
      <c r="S71"/>
      <c r="T71"/>
      <c r="U71"/>
      <c r="V71"/>
      <c r="W71"/>
      <c r="X71"/>
      <c r="Y71"/>
      <c r="Z71"/>
      <c r="AA71"/>
      <c r="AB71"/>
    </row>
    <row r="72" spans="1:28" ht="14.5" outlineLevel="1" x14ac:dyDescent="0.35">
      <c r="A72" s="111"/>
      <c r="B72"/>
      <c r="C72"/>
      <c r="D72"/>
      <c r="E72"/>
      <c r="F72"/>
      <c r="G72"/>
      <c r="H72"/>
      <c r="I72"/>
      <c r="J72"/>
      <c r="K72"/>
      <c r="L72"/>
      <c r="M72"/>
      <c r="S72"/>
      <c r="T72"/>
      <c r="U72"/>
      <c r="V72"/>
      <c r="W72"/>
      <c r="X72"/>
      <c r="Y72"/>
      <c r="Z72"/>
      <c r="AA72"/>
      <c r="AB72"/>
    </row>
    <row r="73" spans="1:28" ht="14.5" outlineLevel="1" x14ac:dyDescent="0.35">
      <c r="A73" s="111"/>
      <c r="B73"/>
      <c r="C73"/>
      <c r="D73"/>
      <c r="E73"/>
      <c r="F73"/>
      <c r="G73"/>
      <c r="H73"/>
      <c r="I73"/>
      <c r="J73"/>
      <c r="K73"/>
      <c r="L73"/>
      <c r="M73"/>
      <c r="S73"/>
      <c r="T73"/>
      <c r="U73"/>
      <c r="V73"/>
      <c r="W73"/>
      <c r="X73"/>
      <c r="Y73"/>
      <c r="Z73"/>
      <c r="AA73"/>
      <c r="AB73"/>
    </row>
    <row r="74" spans="1:28" ht="14.5" outlineLevel="1" x14ac:dyDescent="0.35">
      <c r="A74" s="111">
        <f>A72+1</f>
        <v>1</v>
      </c>
      <c r="B74"/>
      <c r="C74"/>
      <c r="D74"/>
      <c r="E74"/>
      <c r="F74"/>
      <c r="G74"/>
      <c r="H74"/>
      <c r="I74"/>
      <c r="J74"/>
      <c r="K74"/>
      <c r="L74"/>
      <c r="M74"/>
      <c r="S74"/>
      <c r="T74"/>
      <c r="U74"/>
      <c r="V74"/>
      <c r="W74"/>
      <c r="X74"/>
      <c r="Y74"/>
      <c r="Z74"/>
      <c r="AA74"/>
      <c r="AB74"/>
    </row>
    <row r="75" spans="1:28" ht="14.5" outlineLevel="1" x14ac:dyDescent="0.35">
      <c r="A75" s="111">
        <f t="shared" si="0"/>
        <v>2</v>
      </c>
      <c r="B75"/>
      <c r="C75"/>
      <c r="D75"/>
      <c r="E75"/>
      <c r="F75"/>
      <c r="G75"/>
      <c r="H75"/>
      <c r="I75"/>
      <c r="J75"/>
      <c r="K75"/>
      <c r="L75"/>
      <c r="M75"/>
      <c r="S75"/>
      <c r="T75"/>
      <c r="U75"/>
      <c r="V75"/>
      <c r="W75"/>
      <c r="X75"/>
      <c r="Y75"/>
      <c r="Z75"/>
      <c r="AA75"/>
      <c r="AB75"/>
    </row>
    <row r="76" spans="1:28" ht="14.5" outlineLevel="1" x14ac:dyDescent="0.35">
      <c r="A76" s="111">
        <f t="shared" si="0"/>
        <v>3</v>
      </c>
      <c r="B76"/>
      <c r="C76"/>
      <c r="D76"/>
      <c r="E76"/>
      <c r="F76"/>
      <c r="G76"/>
      <c r="H76"/>
      <c r="I76"/>
      <c r="J76"/>
      <c r="K76"/>
      <c r="L76"/>
      <c r="M76"/>
      <c r="S76"/>
      <c r="T76"/>
      <c r="U76"/>
      <c r="V76"/>
      <c r="W76"/>
      <c r="X76"/>
      <c r="Y76"/>
      <c r="Z76"/>
      <c r="AA76"/>
      <c r="AB76"/>
    </row>
    <row r="77" spans="1:28" ht="14.5" outlineLevel="1" x14ac:dyDescent="0.35">
      <c r="A77" s="111">
        <f t="shared" si="0"/>
        <v>4</v>
      </c>
      <c r="B77"/>
      <c r="C77"/>
      <c r="D77"/>
      <c r="E77"/>
      <c r="F77"/>
      <c r="G77"/>
      <c r="H77"/>
      <c r="I77"/>
      <c r="J77"/>
      <c r="K77"/>
      <c r="L77"/>
      <c r="M77"/>
      <c r="S77"/>
      <c r="T77"/>
      <c r="U77"/>
      <c r="V77"/>
      <c r="W77"/>
      <c r="X77"/>
      <c r="Y77"/>
      <c r="Z77"/>
      <c r="AA77"/>
      <c r="AB77"/>
    </row>
    <row r="78" spans="1:28" ht="14.5" outlineLevel="1" x14ac:dyDescent="0.35">
      <c r="A78" s="111">
        <f t="shared" si="0"/>
        <v>5</v>
      </c>
      <c r="B78"/>
      <c r="C78"/>
      <c r="D78"/>
      <c r="E78"/>
      <c r="F78"/>
      <c r="G78"/>
      <c r="H78"/>
      <c r="I78"/>
      <c r="J78"/>
      <c r="K78"/>
      <c r="L78"/>
      <c r="M78"/>
      <c r="S78"/>
      <c r="T78"/>
      <c r="U78"/>
      <c r="V78"/>
      <c r="W78"/>
      <c r="X78"/>
      <c r="Y78"/>
      <c r="Z78"/>
      <c r="AA78"/>
      <c r="AB78"/>
    </row>
    <row r="79" spans="1:28" ht="14.5" outlineLevel="1" x14ac:dyDescent="0.35">
      <c r="A79" s="111">
        <f t="shared" si="0"/>
        <v>6</v>
      </c>
      <c r="B79"/>
      <c r="C79"/>
      <c r="D79"/>
      <c r="E79"/>
      <c r="F79"/>
      <c r="G79"/>
      <c r="H79"/>
      <c r="I79"/>
      <c r="J79"/>
      <c r="K79"/>
      <c r="L79"/>
      <c r="M79"/>
      <c r="S79"/>
      <c r="T79"/>
      <c r="U79"/>
      <c r="V79"/>
      <c r="W79"/>
      <c r="X79"/>
      <c r="Y79"/>
      <c r="Z79"/>
      <c r="AA79"/>
      <c r="AB79"/>
    </row>
    <row r="80" spans="1:28" ht="14.5" outlineLevel="1" x14ac:dyDescent="0.35">
      <c r="A80" s="111">
        <f t="shared" si="0"/>
        <v>7</v>
      </c>
      <c r="B80"/>
      <c r="C80"/>
      <c r="D80"/>
      <c r="E80"/>
      <c r="F80"/>
      <c r="G80"/>
      <c r="H80"/>
      <c r="I80"/>
      <c r="J80"/>
      <c r="K80"/>
      <c r="L80"/>
      <c r="M80"/>
      <c r="S80"/>
      <c r="T80"/>
      <c r="U80"/>
      <c r="V80"/>
      <c r="W80"/>
      <c r="X80"/>
      <c r="Y80"/>
      <c r="Z80"/>
      <c r="AA80"/>
      <c r="AB80"/>
    </row>
    <row r="81" spans="1:28" ht="14.5" outlineLevel="1" x14ac:dyDescent="0.35">
      <c r="A81" s="111">
        <f t="shared" si="0"/>
        <v>8</v>
      </c>
      <c r="B81"/>
      <c r="C81"/>
      <c r="D81"/>
      <c r="E81"/>
      <c r="F81"/>
      <c r="G81"/>
      <c r="H81"/>
      <c r="I81"/>
      <c r="J81"/>
      <c r="K81"/>
      <c r="L81"/>
      <c r="M81"/>
      <c r="S81"/>
      <c r="T81"/>
      <c r="U81"/>
      <c r="V81"/>
      <c r="W81"/>
      <c r="X81"/>
      <c r="Y81"/>
      <c r="Z81"/>
      <c r="AA81"/>
      <c r="AB81"/>
    </row>
    <row r="82" spans="1:28" ht="14.5" x14ac:dyDescent="0.35">
      <c r="A82" s="111"/>
      <c r="B82"/>
      <c r="C82"/>
      <c r="D82"/>
      <c r="E82"/>
      <c r="F82"/>
      <c r="G82"/>
      <c r="H82"/>
      <c r="I82"/>
      <c r="J82"/>
      <c r="K82"/>
      <c r="L82"/>
      <c r="M82"/>
      <c r="S82"/>
      <c r="T82"/>
      <c r="U82"/>
      <c r="V82"/>
      <c r="W82"/>
      <c r="X82"/>
      <c r="Y82"/>
      <c r="Z82"/>
      <c r="AA82"/>
      <c r="AB82"/>
    </row>
    <row r="83" spans="1:28" ht="14.5" x14ac:dyDescent="0.35">
      <c r="A83" s="111"/>
      <c r="B83"/>
      <c r="C83"/>
      <c r="D83"/>
      <c r="E83"/>
      <c r="F83"/>
      <c r="G83"/>
      <c r="H83"/>
      <c r="I83"/>
      <c r="J83"/>
      <c r="K83"/>
      <c r="L83"/>
      <c r="M83"/>
      <c r="S83"/>
      <c r="T83"/>
      <c r="U83"/>
      <c r="V83"/>
      <c r="W83"/>
      <c r="X83"/>
      <c r="Y83"/>
      <c r="Z83"/>
      <c r="AA83"/>
      <c r="AB83"/>
    </row>
    <row r="84" spans="1:28" ht="14.5" x14ac:dyDescent="0.35">
      <c r="A84" s="111"/>
      <c r="B84"/>
      <c r="C84"/>
      <c r="D84"/>
      <c r="E84"/>
      <c r="F84"/>
      <c r="G84"/>
      <c r="H84"/>
      <c r="I84"/>
      <c r="J84"/>
      <c r="K84"/>
      <c r="L84"/>
      <c r="M84"/>
      <c r="S84"/>
      <c r="T84"/>
      <c r="U84"/>
      <c r="V84"/>
      <c r="W84"/>
      <c r="X84"/>
      <c r="Y84"/>
      <c r="Z84"/>
      <c r="AA84"/>
      <c r="AB84"/>
    </row>
    <row r="85" spans="1:28" ht="14.5" x14ac:dyDescent="0.35">
      <c r="A85" s="111"/>
      <c r="B85"/>
      <c r="C85"/>
      <c r="D85"/>
      <c r="E85"/>
      <c r="F85"/>
      <c r="G85"/>
      <c r="H85"/>
      <c r="I85"/>
      <c r="J85"/>
      <c r="K85"/>
      <c r="L85"/>
      <c r="M85"/>
      <c r="S85"/>
      <c r="T85"/>
      <c r="U85"/>
      <c r="V85"/>
      <c r="W85"/>
      <c r="X85"/>
      <c r="Y85"/>
      <c r="Z85"/>
      <c r="AA85"/>
      <c r="AB85"/>
    </row>
    <row r="86" spans="1:28" ht="14.5" x14ac:dyDescent="0.35">
      <c r="A86" s="111"/>
      <c r="B86"/>
      <c r="C86"/>
      <c r="D86"/>
      <c r="E86"/>
      <c r="F86"/>
      <c r="G86"/>
      <c r="H86"/>
      <c r="I86"/>
      <c r="J86"/>
      <c r="K86"/>
      <c r="L86"/>
      <c r="M86"/>
      <c r="S86"/>
      <c r="T86"/>
      <c r="U86"/>
      <c r="V86"/>
      <c r="W86"/>
      <c r="X86"/>
      <c r="Y86"/>
      <c r="Z86"/>
      <c r="AA86"/>
      <c r="AB86"/>
    </row>
    <row r="87" spans="1:28" ht="14.5" x14ac:dyDescent="0.35">
      <c r="A87" s="111"/>
      <c r="B87"/>
      <c r="C87"/>
      <c r="D87"/>
      <c r="E87"/>
      <c r="F87"/>
      <c r="G87"/>
      <c r="H87"/>
      <c r="I87"/>
      <c r="J87"/>
      <c r="K87"/>
      <c r="L87"/>
      <c r="M87"/>
      <c r="S87"/>
      <c r="T87"/>
      <c r="U87"/>
      <c r="V87"/>
      <c r="W87"/>
      <c r="X87"/>
      <c r="Y87"/>
      <c r="Z87"/>
      <c r="AA87"/>
      <c r="AB87"/>
    </row>
    <row r="88" spans="1:28" ht="14.5" x14ac:dyDescent="0.35">
      <c r="A88" s="111"/>
      <c r="B88"/>
      <c r="C88"/>
      <c r="D88"/>
      <c r="E88"/>
      <c r="F88"/>
      <c r="G88"/>
      <c r="H88"/>
      <c r="I88"/>
      <c r="J88"/>
      <c r="K88"/>
      <c r="L88"/>
      <c r="M88"/>
      <c r="S88"/>
      <c r="T88"/>
      <c r="U88"/>
      <c r="V88"/>
      <c r="W88"/>
      <c r="X88"/>
      <c r="Y88"/>
      <c r="Z88"/>
      <c r="AA88"/>
      <c r="AB88"/>
    </row>
    <row r="89" spans="1:28" ht="14.5" x14ac:dyDescent="0.35">
      <c r="A89" s="111"/>
      <c r="B89"/>
      <c r="C89"/>
      <c r="D89"/>
      <c r="E89"/>
      <c r="F89"/>
      <c r="G89"/>
      <c r="H89"/>
      <c r="I89"/>
      <c r="J89"/>
      <c r="K89"/>
      <c r="L89"/>
      <c r="M89"/>
      <c r="S89"/>
      <c r="T89"/>
      <c r="U89"/>
      <c r="V89"/>
      <c r="W89"/>
      <c r="X89"/>
      <c r="Y89"/>
      <c r="Z89"/>
      <c r="AA89"/>
      <c r="AB89"/>
    </row>
    <row r="90" spans="1:28" ht="14.5" x14ac:dyDescent="0.35">
      <c r="A90" s="111"/>
      <c r="B90"/>
      <c r="C90"/>
      <c r="D90"/>
      <c r="E90"/>
      <c r="F90"/>
      <c r="G90"/>
      <c r="H90"/>
      <c r="I90"/>
      <c r="J90"/>
      <c r="K90"/>
      <c r="L90"/>
      <c r="M90"/>
      <c r="S90"/>
      <c r="T90"/>
      <c r="U90"/>
      <c r="V90"/>
      <c r="W90"/>
      <c r="X90"/>
      <c r="Y90"/>
      <c r="Z90"/>
      <c r="AA90"/>
      <c r="AB90"/>
    </row>
    <row r="91" spans="1:28" ht="14.5" x14ac:dyDescent="0.35">
      <c r="A91" s="111"/>
      <c r="B91"/>
      <c r="C91"/>
      <c r="D91"/>
      <c r="E91"/>
      <c r="F91"/>
      <c r="G91"/>
      <c r="H91"/>
      <c r="I91"/>
      <c r="J91"/>
      <c r="K91"/>
      <c r="L91"/>
      <c r="M91"/>
      <c r="S91"/>
      <c r="T91"/>
      <c r="U91"/>
      <c r="V91"/>
      <c r="W91"/>
      <c r="X91"/>
      <c r="Y91"/>
      <c r="Z91"/>
      <c r="AA91"/>
      <c r="AB91"/>
    </row>
    <row r="92" spans="1:28" ht="14.5" x14ac:dyDescent="0.35">
      <c r="A92" s="111"/>
      <c r="B92"/>
      <c r="C92"/>
      <c r="D92"/>
      <c r="E92"/>
      <c r="F92"/>
      <c r="G92"/>
      <c r="H92"/>
      <c r="I92"/>
      <c r="J92"/>
      <c r="K92"/>
      <c r="L92"/>
      <c r="M92"/>
      <c r="S92"/>
      <c r="T92"/>
      <c r="U92"/>
      <c r="V92"/>
      <c r="W92"/>
      <c r="X92"/>
      <c r="Y92"/>
      <c r="Z92"/>
      <c r="AA92"/>
      <c r="AB92"/>
    </row>
    <row r="93" spans="1:28" ht="14.5" x14ac:dyDescent="0.35">
      <c r="A93" s="111"/>
      <c r="B93"/>
      <c r="C93"/>
      <c r="D93"/>
      <c r="E93"/>
      <c r="F93"/>
      <c r="G93"/>
      <c r="H93"/>
      <c r="I93"/>
      <c r="J93"/>
      <c r="K93"/>
      <c r="L93"/>
      <c r="M93"/>
      <c r="S93"/>
      <c r="T93"/>
      <c r="U93"/>
      <c r="V93"/>
      <c r="W93"/>
      <c r="X93"/>
      <c r="Y93"/>
      <c r="Z93"/>
      <c r="AA93"/>
      <c r="AB93"/>
    </row>
    <row r="94" spans="1:28" ht="14.5" x14ac:dyDescent="0.35">
      <c r="A94" s="111"/>
      <c r="B94"/>
      <c r="C94"/>
      <c r="D94"/>
      <c r="E94"/>
      <c r="F94"/>
      <c r="G94"/>
      <c r="H94"/>
      <c r="I94"/>
      <c r="J94"/>
      <c r="K94"/>
      <c r="L94"/>
      <c r="M94"/>
      <c r="S94"/>
      <c r="T94"/>
      <c r="U94"/>
      <c r="V94"/>
      <c r="W94"/>
      <c r="X94"/>
      <c r="Y94"/>
      <c r="Z94"/>
      <c r="AA94"/>
      <c r="AB94"/>
    </row>
    <row r="95" spans="1:28" ht="14.5" x14ac:dyDescent="0.35">
      <c r="A95" s="111"/>
      <c r="B95"/>
      <c r="C95"/>
      <c r="D95"/>
      <c r="E95"/>
      <c r="F95"/>
      <c r="G95"/>
      <c r="H95"/>
      <c r="I95"/>
      <c r="J95"/>
      <c r="K95"/>
      <c r="L95"/>
      <c r="M95"/>
      <c r="S95"/>
      <c r="T95"/>
      <c r="U95"/>
      <c r="V95"/>
      <c r="W95"/>
      <c r="X95"/>
      <c r="Y95"/>
      <c r="Z95"/>
      <c r="AA95"/>
      <c r="AB95"/>
    </row>
    <row r="96" spans="1:28" ht="14.5" x14ac:dyDescent="0.35">
      <c r="A96" s="111"/>
      <c r="B96"/>
      <c r="C96"/>
      <c r="D96"/>
      <c r="E96"/>
      <c r="F96"/>
      <c r="G96"/>
      <c r="H96"/>
      <c r="I96"/>
      <c r="J96"/>
      <c r="K96"/>
      <c r="L96"/>
      <c r="M96"/>
      <c r="S96"/>
      <c r="T96"/>
      <c r="U96"/>
      <c r="V96"/>
      <c r="W96"/>
      <c r="X96"/>
      <c r="Y96"/>
      <c r="Z96"/>
      <c r="AA96"/>
      <c r="AB96"/>
    </row>
    <row r="97" spans="1:28" ht="14.5" x14ac:dyDescent="0.35">
      <c r="A97" s="111"/>
      <c r="B97"/>
      <c r="C97"/>
      <c r="D97"/>
      <c r="E97"/>
      <c r="F97"/>
      <c r="G97"/>
      <c r="H97"/>
      <c r="I97"/>
      <c r="J97"/>
      <c r="K97"/>
      <c r="L97"/>
      <c r="M97"/>
      <c r="S97"/>
      <c r="T97"/>
      <c r="U97"/>
      <c r="V97"/>
      <c r="W97"/>
      <c r="X97"/>
      <c r="Y97"/>
      <c r="Z97"/>
      <c r="AA97"/>
      <c r="AB97"/>
    </row>
    <row r="98" spans="1:28" ht="14.5" x14ac:dyDescent="0.35">
      <c r="A98" s="111"/>
      <c r="B98"/>
      <c r="C98"/>
      <c r="D98"/>
      <c r="E98"/>
      <c r="F98"/>
      <c r="G98"/>
      <c r="H98"/>
      <c r="I98"/>
      <c r="J98"/>
      <c r="K98"/>
      <c r="L98"/>
      <c r="M98"/>
      <c r="S98"/>
      <c r="T98"/>
      <c r="U98"/>
      <c r="V98"/>
      <c r="W98"/>
      <c r="X98"/>
      <c r="Y98"/>
      <c r="Z98"/>
      <c r="AA98"/>
      <c r="AB98"/>
    </row>
    <row r="99" spans="1:28" ht="14.5" x14ac:dyDescent="0.35">
      <c r="A99" s="111"/>
      <c r="B99"/>
      <c r="C99"/>
      <c r="D99"/>
      <c r="E99"/>
      <c r="F99"/>
      <c r="G99"/>
      <c r="H99"/>
      <c r="I99"/>
      <c r="J99"/>
      <c r="K99"/>
      <c r="L99"/>
      <c r="M99"/>
      <c r="S99"/>
      <c r="T99"/>
      <c r="U99"/>
      <c r="V99"/>
      <c r="W99"/>
      <c r="X99"/>
      <c r="Y99"/>
      <c r="Z99"/>
      <c r="AA99"/>
      <c r="AB99"/>
    </row>
    <row r="100" spans="1:28" ht="14.5" x14ac:dyDescent="0.35">
      <c r="A100" s="111"/>
      <c r="B100"/>
      <c r="C100"/>
      <c r="D100"/>
      <c r="E100"/>
      <c r="F100"/>
      <c r="G100"/>
      <c r="H100"/>
      <c r="I100"/>
      <c r="J100"/>
      <c r="K100"/>
      <c r="L100"/>
      <c r="M100"/>
      <c r="S100"/>
      <c r="T100"/>
      <c r="U100"/>
      <c r="V100"/>
      <c r="W100"/>
      <c r="X100"/>
      <c r="Y100"/>
      <c r="Z100"/>
      <c r="AA100"/>
      <c r="AB100"/>
    </row>
    <row r="101" spans="1:28" ht="14.5" x14ac:dyDescent="0.35">
      <c r="A101" s="111"/>
      <c r="B101"/>
      <c r="C101"/>
      <c r="D101"/>
      <c r="E101"/>
      <c r="F101"/>
      <c r="G101"/>
      <c r="H101"/>
      <c r="I101"/>
      <c r="J101"/>
      <c r="K101"/>
      <c r="L101"/>
      <c r="M101"/>
      <c r="S101"/>
      <c r="T101"/>
      <c r="U101"/>
      <c r="V101"/>
      <c r="W101"/>
      <c r="X101"/>
      <c r="Y101"/>
      <c r="Z101"/>
      <c r="AA101"/>
      <c r="AB101"/>
    </row>
    <row r="102" spans="1:28" ht="14.5" x14ac:dyDescent="0.35">
      <c r="A102" s="111"/>
      <c r="B102"/>
      <c r="C102"/>
      <c r="D102"/>
      <c r="E102"/>
      <c r="F102"/>
      <c r="G102"/>
      <c r="H102"/>
      <c r="I102"/>
      <c r="J102"/>
      <c r="K102"/>
      <c r="L102"/>
      <c r="M102"/>
      <c r="S102"/>
      <c r="T102"/>
      <c r="U102"/>
      <c r="V102"/>
      <c r="W102"/>
      <c r="X102"/>
      <c r="Y102"/>
      <c r="Z102"/>
      <c r="AA102"/>
      <c r="AB102"/>
    </row>
    <row r="103" spans="1:28" ht="14.5" x14ac:dyDescent="0.35">
      <c r="A103" s="111"/>
      <c r="B103"/>
      <c r="C103"/>
      <c r="D103"/>
      <c r="E103"/>
      <c r="F103"/>
      <c r="G103"/>
      <c r="H103"/>
      <c r="I103"/>
      <c r="J103"/>
      <c r="K103"/>
      <c r="L103"/>
      <c r="M103"/>
      <c r="S103"/>
      <c r="T103"/>
      <c r="U103"/>
      <c r="V103"/>
      <c r="W103"/>
      <c r="X103"/>
      <c r="Y103"/>
      <c r="Z103"/>
      <c r="AA103"/>
      <c r="AB103"/>
    </row>
    <row r="104" spans="1:28" ht="14.5" x14ac:dyDescent="0.35">
      <c r="A104" s="111"/>
      <c r="B104"/>
      <c r="C104"/>
      <c r="D104"/>
      <c r="E104"/>
      <c r="F104"/>
      <c r="G104"/>
      <c r="H104"/>
      <c r="I104"/>
      <c r="J104"/>
      <c r="K104"/>
      <c r="L104"/>
      <c r="M104"/>
      <c r="S104"/>
      <c r="T104"/>
      <c r="U104"/>
      <c r="V104"/>
      <c r="W104"/>
      <c r="X104"/>
      <c r="Y104"/>
      <c r="Z104"/>
      <c r="AA104"/>
      <c r="AB104"/>
    </row>
    <row r="105" spans="1:28" ht="14.5" x14ac:dyDescent="0.35">
      <c r="A105" s="111"/>
      <c r="B105"/>
      <c r="C105"/>
      <c r="D105"/>
      <c r="E105"/>
      <c r="F105"/>
      <c r="G105"/>
      <c r="H105"/>
      <c r="I105"/>
      <c r="J105"/>
      <c r="K105"/>
      <c r="L105"/>
      <c r="M105"/>
      <c r="S105"/>
      <c r="T105"/>
      <c r="U105"/>
      <c r="V105"/>
      <c r="W105"/>
      <c r="X105"/>
      <c r="Y105"/>
      <c r="Z105"/>
      <c r="AA105"/>
      <c r="AB105"/>
    </row>
    <row r="106" spans="1:28" ht="14.5" x14ac:dyDescent="0.35">
      <c r="A106" s="111"/>
      <c r="B106"/>
      <c r="C106"/>
      <c r="D106"/>
      <c r="E106"/>
      <c r="F106"/>
      <c r="G106"/>
      <c r="H106"/>
      <c r="I106"/>
      <c r="J106"/>
      <c r="K106"/>
      <c r="L106"/>
      <c r="M106"/>
      <c r="S106"/>
      <c r="T106"/>
      <c r="U106"/>
      <c r="V106"/>
      <c r="W106"/>
      <c r="X106"/>
      <c r="Y106"/>
      <c r="Z106"/>
      <c r="AA106"/>
      <c r="AB106"/>
    </row>
    <row r="107" spans="1:28" ht="14.5" x14ac:dyDescent="0.35">
      <c r="A107"/>
      <c r="B107"/>
      <c r="C107"/>
      <c r="D107"/>
      <c r="E107"/>
      <c r="F107"/>
      <c r="G107"/>
      <c r="H107"/>
      <c r="I107"/>
      <c r="J107"/>
      <c r="K107"/>
      <c r="L107"/>
      <c r="M107"/>
      <c r="S107"/>
      <c r="T107"/>
      <c r="U107"/>
      <c r="V107"/>
      <c r="W107"/>
      <c r="X107"/>
      <c r="Y107"/>
      <c r="Z107"/>
      <c r="AA107"/>
      <c r="AB107"/>
    </row>
    <row r="108" spans="1:28" ht="14.5" x14ac:dyDescent="0.35">
      <c r="A108"/>
      <c r="B108"/>
      <c r="C108"/>
      <c r="D108"/>
      <c r="E108"/>
      <c r="F108"/>
      <c r="G108"/>
      <c r="H108"/>
      <c r="I108"/>
      <c r="J108"/>
      <c r="K108"/>
      <c r="L108"/>
      <c r="M108"/>
      <c r="S108"/>
      <c r="T108"/>
      <c r="U108"/>
      <c r="V108"/>
      <c r="W108"/>
      <c r="X108"/>
      <c r="Y108"/>
      <c r="Z108"/>
      <c r="AA108"/>
      <c r="AB108"/>
    </row>
    <row r="109" spans="1:28" ht="14.5" x14ac:dyDescent="0.35">
      <c r="A109"/>
      <c r="B109"/>
      <c r="C109"/>
      <c r="D109"/>
      <c r="E109"/>
      <c r="F109"/>
      <c r="G109"/>
      <c r="H109"/>
      <c r="I109"/>
      <c r="J109"/>
      <c r="K109"/>
      <c r="L109"/>
      <c r="M109"/>
      <c r="S109"/>
      <c r="T109"/>
      <c r="U109"/>
      <c r="V109"/>
      <c r="W109"/>
      <c r="X109"/>
      <c r="Y109"/>
      <c r="Z109"/>
      <c r="AA109"/>
      <c r="AB109"/>
    </row>
    <row r="110" spans="1:28" ht="14.5" x14ac:dyDescent="0.35">
      <c r="A110"/>
      <c r="B110"/>
      <c r="C110"/>
      <c r="D110"/>
      <c r="E110"/>
      <c r="F110"/>
      <c r="G110"/>
      <c r="H110"/>
      <c r="I110"/>
      <c r="J110"/>
      <c r="K110"/>
      <c r="L110"/>
      <c r="M110"/>
      <c r="S110"/>
      <c r="T110"/>
      <c r="U110"/>
      <c r="V110"/>
      <c r="W110"/>
      <c r="X110"/>
      <c r="Y110"/>
      <c r="Z110"/>
      <c r="AA110"/>
      <c r="AB110"/>
    </row>
    <row r="111" spans="1:28" ht="14.5" x14ac:dyDescent="0.35">
      <c r="A111"/>
      <c r="B111"/>
      <c r="C111"/>
      <c r="D111"/>
      <c r="E111"/>
      <c r="F111"/>
      <c r="G111"/>
      <c r="H111"/>
      <c r="I111"/>
      <c r="J111"/>
      <c r="K111"/>
      <c r="L111"/>
      <c r="M111"/>
      <c r="S111"/>
      <c r="T111"/>
      <c r="U111"/>
      <c r="V111"/>
      <c r="W111"/>
      <c r="X111"/>
      <c r="Y111"/>
      <c r="Z111"/>
      <c r="AA111"/>
      <c r="AB111"/>
    </row>
    <row r="112" spans="1:28" ht="14.5" x14ac:dyDescent="0.35">
      <c r="A112"/>
      <c r="B112"/>
      <c r="C112"/>
      <c r="D112"/>
      <c r="E112"/>
      <c r="F112"/>
      <c r="G112"/>
      <c r="H112"/>
      <c r="I112"/>
      <c r="J112"/>
      <c r="K112"/>
      <c r="L112"/>
      <c r="M112"/>
      <c r="S112"/>
      <c r="T112"/>
      <c r="U112"/>
      <c r="V112"/>
      <c r="W112"/>
      <c r="X112"/>
      <c r="Y112"/>
      <c r="Z112"/>
      <c r="AA112"/>
      <c r="AB112"/>
    </row>
    <row r="113" spans="1:28" ht="14.5" x14ac:dyDescent="0.35">
      <c r="A113"/>
      <c r="B113"/>
      <c r="C113"/>
      <c r="D113"/>
      <c r="E113"/>
      <c r="F113"/>
      <c r="G113"/>
      <c r="H113"/>
      <c r="I113"/>
      <c r="J113"/>
      <c r="K113"/>
      <c r="L113"/>
      <c r="M113"/>
      <c r="S113"/>
      <c r="T113"/>
      <c r="U113"/>
      <c r="V113"/>
      <c r="W113"/>
      <c r="X113"/>
      <c r="Y113"/>
      <c r="Z113"/>
      <c r="AA113"/>
      <c r="AB113"/>
    </row>
    <row r="114" spans="1:28" ht="14.5" x14ac:dyDescent="0.35">
      <c r="A114"/>
      <c r="B114"/>
      <c r="C114"/>
      <c r="D114"/>
      <c r="E114"/>
      <c r="F114"/>
      <c r="G114"/>
      <c r="H114"/>
      <c r="I114"/>
      <c r="J114"/>
      <c r="K114"/>
      <c r="L114"/>
      <c r="M114"/>
      <c r="S114"/>
      <c r="T114"/>
      <c r="U114"/>
      <c r="V114"/>
      <c r="W114"/>
      <c r="X114"/>
      <c r="Y114"/>
      <c r="Z114"/>
      <c r="AA114"/>
      <c r="AB114"/>
    </row>
    <row r="115" spans="1:28" ht="14.5" x14ac:dyDescent="0.35">
      <c r="A115"/>
      <c r="B115"/>
      <c r="C115"/>
      <c r="D115"/>
      <c r="E115"/>
      <c r="F115"/>
      <c r="G115"/>
      <c r="H115"/>
      <c r="I115"/>
      <c r="J115"/>
      <c r="K115"/>
      <c r="L115"/>
      <c r="M115"/>
      <c r="S115"/>
      <c r="T115"/>
      <c r="U115"/>
      <c r="V115"/>
      <c r="W115"/>
      <c r="X115"/>
      <c r="Y115"/>
      <c r="Z115"/>
      <c r="AA115"/>
      <c r="AB115"/>
    </row>
    <row r="116" spans="1:28" ht="14.5" x14ac:dyDescent="0.35">
      <c r="A116"/>
      <c r="B116"/>
      <c r="C116"/>
      <c r="D116"/>
      <c r="E116"/>
      <c r="F116"/>
      <c r="G116"/>
      <c r="H116"/>
      <c r="I116"/>
      <c r="J116"/>
      <c r="K116"/>
      <c r="L116"/>
      <c r="M116"/>
      <c r="S116"/>
      <c r="T116"/>
      <c r="U116"/>
      <c r="V116"/>
      <c r="W116"/>
      <c r="X116"/>
      <c r="Y116"/>
      <c r="Z116"/>
      <c r="AA116"/>
      <c r="AB116"/>
    </row>
    <row r="117" spans="1:28" ht="14.5" x14ac:dyDescent="0.35">
      <c r="A117"/>
      <c r="B117"/>
      <c r="C117"/>
      <c r="D117"/>
      <c r="E117"/>
      <c r="F117"/>
      <c r="G117"/>
      <c r="H117"/>
      <c r="I117"/>
      <c r="J117"/>
      <c r="K117"/>
      <c r="L117"/>
      <c r="M117"/>
      <c r="S117"/>
      <c r="T117"/>
      <c r="U117"/>
      <c r="V117"/>
      <c r="W117"/>
      <c r="X117"/>
      <c r="Y117"/>
      <c r="Z117"/>
      <c r="AA117"/>
      <c r="AB117"/>
    </row>
    <row r="118" spans="1:28" ht="14.5" x14ac:dyDescent="0.35">
      <c r="A118"/>
      <c r="B118"/>
      <c r="C118"/>
      <c r="D118"/>
      <c r="E118"/>
      <c r="F118"/>
      <c r="G118"/>
      <c r="H118"/>
      <c r="I118"/>
      <c r="J118"/>
      <c r="K118"/>
      <c r="L118"/>
      <c r="M118"/>
      <c r="S118"/>
      <c r="T118"/>
      <c r="U118"/>
      <c r="V118"/>
      <c r="W118"/>
      <c r="X118"/>
      <c r="Y118"/>
      <c r="Z118"/>
      <c r="AA118"/>
      <c r="AB118"/>
    </row>
    <row r="119" spans="1:28" ht="14.5" x14ac:dyDescent="0.35">
      <c r="A119"/>
      <c r="B119"/>
      <c r="C119"/>
      <c r="D119"/>
      <c r="E119"/>
      <c r="F119"/>
      <c r="G119"/>
      <c r="H119"/>
      <c r="I119"/>
      <c r="J119"/>
      <c r="K119"/>
      <c r="L119"/>
      <c r="M119"/>
      <c r="S119"/>
      <c r="T119"/>
      <c r="U119"/>
      <c r="V119"/>
      <c r="W119"/>
      <c r="X119"/>
      <c r="Y119"/>
      <c r="Z119"/>
      <c r="AA119"/>
      <c r="AB119"/>
    </row>
    <row r="120" spans="1:28" ht="14.5" x14ac:dyDescent="0.35">
      <c r="A120"/>
      <c r="B120"/>
      <c r="C120"/>
      <c r="D120"/>
      <c r="E120"/>
      <c r="F120"/>
      <c r="G120"/>
      <c r="H120"/>
      <c r="I120"/>
      <c r="J120"/>
      <c r="K120"/>
      <c r="L120"/>
      <c r="M120"/>
      <c r="S120"/>
      <c r="T120"/>
      <c r="U120"/>
      <c r="V120"/>
      <c r="W120"/>
      <c r="X120"/>
      <c r="Y120"/>
      <c r="Z120"/>
      <c r="AA120"/>
      <c r="AB120"/>
    </row>
    <row r="121" spans="1:28" ht="14.5" x14ac:dyDescent="0.35">
      <c r="A121"/>
      <c r="B121"/>
      <c r="C121"/>
      <c r="D121"/>
      <c r="E121"/>
      <c r="F121"/>
      <c r="G121"/>
      <c r="H121"/>
      <c r="I121"/>
      <c r="J121"/>
      <c r="K121"/>
      <c r="L121"/>
      <c r="M121"/>
      <c r="S121"/>
      <c r="T121"/>
      <c r="U121"/>
      <c r="V121"/>
      <c r="W121"/>
      <c r="X121"/>
      <c r="Y121"/>
      <c r="Z121"/>
      <c r="AA121"/>
      <c r="AB121"/>
    </row>
    <row r="122" spans="1:28" ht="14.5" x14ac:dyDescent="0.35">
      <c r="A122"/>
      <c r="B122"/>
      <c r="C122"/>
      <c r="D122"/>
      <c r="E122"/>
      <c r="F122"/>
      <c r="G122"/>
      <c r="H122"/>
      <c r="I122"/>
      <c r="J122"/>
      <c r="K122"/>
      <c r="L122"/>
      <c r="M122"/>
      <c r="S122"/>
      <c r="T122"/>
      <c r="U122"/>
      <c r="V122"/>
      <c r="W122"/>
      <c r="X122"/>
      <c r="Y122"/>
      <c r="Z122"/>
      <c r="AA122"/>
      <c r="AB122"/>
    </row>
    <row r="123" spans="1:28" ht="14.5" x14ac:dyDescent="0.35">
      <c r="A123"/>
      <c r="B123"/>
      <c r="C123"/>
      <c r="D123"/>
      <c r="E123"/>
      <c r="F123"/>
      <c r="G123"/>
      <c r="H123"/>
      <c r="I123"/>
      <c r="J123"/>
      <c r="K123"/>
      <c r="L123"/>
      <c r="M123"/>
      <c r="S123"/>
      <c r="T123"/>
      <c r="U123"/>
      <c r="V123"/>
      <c r="W123"/>
      <c r="X123"/>
      <c r="Y123"/>
      <c r="Z123"/>
      <c r="AA123"/>
      <c r="AB123"/>
    </row>
    <row r="124" spans="1:28" ht="14.5" x14ac:dyDescent="0.35">
      <c r="A124"/>
      <c r="B124"/>
      <c r="C124"/>
      <c r="D124"/>
      <c r="E124"/>
      <c r="F124"/>
      <c r="G124"/>
      <c r="H124"/>
      <c r="I124"/>
      <c r="J124"/>
      <c r="K124"/>
      <c r="L124"/>
      <c r="M124"/>
      <c r="S124"/>
      <c r="T124"/>
      <c r="U124"/>
      <c r="V124"/>
      <c r="W124"/>
      <c r="X124"/>
      <c r="Y124"/>
      <c r="Z124"/>
      <c r="AA124"/>
      <c r="AB124"/>
    </row>
    <row r="125" spans="1:28" ht="14.5" x14ac:dyDescent="0.35">
      <c r="A125"/>
      <c r="B125"/>
      <c r="C125"/>
      <c r="D125"/>
      <c r="E125"/>
      <c r="F125"/>
      <c r="G125"/>
      <c r="H125"/>
      <c r="I125"/>
      <c r="J125"/>
      <c r="K125"/>
      <c r="L125"/>
      <c r="M125"/>
      <c r="S125"/>
      <c r="T125"/>
      <c r="U125"/>
      <c r="V125"/>
      <c r="W125"/>
      <c r="X125"/>
      <c r="Y125"/>
      <c r="Z125"/>
      <c r="AA125"/>
      <c r="AB125"/>
    </row>
    <row r="126" spans="1:28" ht="14.5" x14ac:dyDescent="0.35">
      <c r="A126"/>
      <c r="B126"/>
      <c r="C126"/>
      <c r="D126"/>
      <c r="E126"/>
      <c r="F126"/>
      <c r="G126"/>
      <c r="H126"/>
      <c r="I126"/>
      <c r="J126"/>
      <c r="K126"/>
      <c r="L126"/>
      <c r="M126"/>
      <c r="S126"/>
      <c r="T126"/>
      <c r="U126"/>
      <c r="V126"/>
      <c r="W126"/>
      <c r="X126"/>
      <c r="Y126"/>
      <c r="Z126"/>
      <c r="AA126"/>
      <c r="AB126"/>
    </row>
    <row r="127" spans="1:28" ht="14.5" x14ac:dyDescent="0.35">
      <c r="A127"/>
      <c r="B127"/>
      <c r="C127"/>
      <c r="D127"/>
      <c r="E127"/>
      <c r="F127"/>
      <c r="G127"/>
      <c r="H127"/>
      <c r="I127"/>
      <c r="J127"/>
      <c r="K127"/>
      <c r="L127"/>
      <c r="M127"/>
      <c r="S127"/>
      <c r="T127"/>
      <c r="U127"/>
      <c r="V127"/>
      <c r="W127"/>
      <c r="X127"/>
      <c r="Y127"/>
      <c r="Z127"/>
      <c r="AA127"/>
      <c r="AB127"/>
    </row>
    <row r="128" spans="1:28" ht="14.5" x14ac:dyDescent="0.35">
      <c r="A128"/>
      <c r="B128"/>
      <c r="C128"/>
      <c r="D128"/>
      <c r="E128"/>
      <c r="F128"/>
      <c r="G128"/>
      <c r="H128"/>
      <c r="I128"/>
      <c r="J128"/>
      <c r="K128"/>
      <c r="L128"/>
      <c r="M128"/>
      <c r="S128"/>
      <c r="T128"/>
      <c r="U128"/>
      <c r="V128"/>
      <c r="W128"/>
      <c r="X128"/>
      <c r="Y128"/>
      <c r="Z128"/>
      <c r="AA128"/>
      <c r="AB128"/>
    </row>
    <row r="129" spans="1:28" ht="14.5" x14ac:dyDescent="0.35">
      <c r="A129"/>
      <c r="B129"/>
      <c r="C129"/>
      <c r="D129"/>
      <c r="E129"/>
      <c r="F129"/>
      <c r="G129"/>
      <c r="H129"/>
      <c r="I129"/>
      <c r="J129"/>
      <c r="K129"/>
      <c r="L129"/>
      <c r="M129"/>
      <c r="S129"/>
      <c r="T129"/>
      <c r="U129"/>
      <c r="V129"/>
      <c r="W129"/>
      <c r="X129"/>
      <c r="Y129"/>
      <c r="Z129"/>
      <c r="AA129"/>
      <c r="AB129"/>
    </row>
    <row r="130" spans="1:28" ht="14.5" x14ac:dyDescent="0.35">
      <c r="A130"/>
      <c r="B130"/>
      <c r="C130"/>
      <c r="D130"/>
      <c r="E130"/>
      <c r="F130"/>
      <c r="G130"/>
      <c r="H130"/>
      <c r="I130"/>
      <c r="J130"/>
      <c r="K130"/>
      <c r="L130"/>
      <c r="M130"/>
      <c r="S130"/>
      <c r="T130"/>
      <c r="U130"/>
      <c r="V130"/>
      <c r="W130"/>
      <c r="X130"/>
      <c r="Y130"/>
      <c r="Z130"/>
      <c r="AA130"/>
      <c r="AB130"/>
    </row>
    <row r="131" spans="1:28" ht="14.5" x14ac:dyDescent="0.35">
      <c r="A131"/>
      <c r="B131"/>
      <c r="C131"/>
      <c r="D131"/>
      <c r="E131"/>
      <c r="F131"/>
      <c r="G131"/>
      <c r="H131"/>
      <c r="I131"/>
      <c r="J131"/>
      <c r="K131"/>
      <c r="L131"/>
      <c r="M131"/>
      <c r="S131"/>
      <c r="T131"/>
      <c r="U131"/>
      <c r="V131"/>
      <c r="W131"/>
      <c r="X131"/>
      <c r="Y131"/>
      <c r="Z131"/>
      <c r="AA131"/>
      <c r="AB131"/>
    </row>
    <row r="132" spans="1:28" ht="14.5" x14ac:dyDescent="0.35">
      <c r="A132"/>
      <c r="B132"/>
      <c r="C132"/>
      <c r="D132"/>
      <c r="E132"/>
      <c r="F132"/>
      <c r="G132"/>
      <c r="H132"/>
      <c r="I132"/>
      <c r="J132"/>
      <c r="K132"/>
      <c r="L132"/>
      <c r="M132"/>
      <c r="S132"/>
      <c r="T132"/>
      <c r="U132"/>
      <c r="V132"/>
      <c r="W132"/>
      <c r="X132"/>
      <c r="Y132"/>
      <c r="Z132"/>
      <c r="AA132"/>
      <c r="AB132"/>
    </row>
    <row r="133" spans="1:28" ht="14.5" x14ac:dyDescent="0.35">
      <c r="A133"/>
      <c r="B133"/>
      <c r="C133"/>
      <c r="D133"/>
      <c r="E133"/>
      <c r="F133"/>
      <c r="H133"/>
      <c r="I133"/>
      <c r="J133"/>
      <c r="K133"/>
      <c r="L133"/>
      <c r="M133"/>
      <c r="S133"/>
      <c r="T133"/>
      <c r="U133"/>
      <c r="V133"/>
      <c r="W133"/>
      <c r="X133"/>
      <c r="Y133"/>
      <c r="Z133"/>
      <c r="AA133"/>
      <c r="AB133"/>
    </row>
    <row r="134" spans="1:28" ht="14.5" x14ac:dyDescent="0.35">
      <c r="A134"/>
      <c r="B134"/>
      <c r="C134"/>
      <c r="D134"/>
      <c r="E134"/>
      <c r="F134"/>
      <c r="G134"/>
      <c r="H134"/>
      <c r="I134"/>
      <c r="J134"/>
      <c r="K134"/>
      <c r="L134"/>
      <c r="M134"/>
      <c r="S134"/>
      <c r="T134"/>
      <c r="U134"/>
      <c r="V134"/>
      <c r="W134"/>
      <c r="X134"/>
      <c r="Y134"/>
      <c r="Z134"/>
      <c r="AA134"/>
      <c r="AB134"/>
    </row>
    <row r="135" spans="1:28" ht="14.5" x14ac:dyDescent="0.35">
      <c r="A135"/>
      <c r="B135"/>
      <c r="C135"/>
      <c r="D135"/>
      <c r="E135"/>
      <c r="F135"/>
      <c r="G135"/>
      <c r="H135"/>
      <c r="I135"/>
      <c r="J135"/>
      <c r="K135"/>
      <c r="L135"/>
      <c r="M135"/>
      <c r="S135"/>
      <c r="T135"/>
      <c r="U135"/>
      <c r="V135"/>
      <c r="W135"/>
      <c r="X135"/>
      <c r="Y135"/>
      <c r="Z135"/>
      <c r="AA135"/>
      <c r="AB135"/>
    </row>
    <row r="136" spans="1:28" ht="14.5" x14ac:dyDescent="0.35">
      <c r="A136"/>
      <c r="B136"/>
      <c r="C136"/>
      <c r="D136"/>
      <c r="E136"/>
      <c r="F136"/>
      <c r="G136"/>
      <c r="H136"/>
      <c r="I136"/>
      <c r="J136"/>
      <c r="K136"/>
      <c r="L136"/>
      <c r="M136"/>
      <c r="S136"/>
      <c r="T136"/>
      <c r="U136"/>
      <c r="V136"/>
      <c r="W136"/>
      <c r="X136"/>
      <c r="Y136"/>
      <c r="Z136"/>
      <c r="AA136"/>
      <c r="AB136"/>
    </row>
    <row r="137" spans="1:28" ht="14.5" x14ac:dyDescent="0.35">
      <c r="A137"/>
      <c r="B137"/>
      <c r="C137"/>
      <c r="D137"/>
      <c r="E137"/>
      <c r="F137"/>
      <c r="G137"/>
      <c r="H137"/>
      <c r="I137"/>
      <c r="J137"/>
      <c r="K137"/>
      <c r="L137"/>
      <c r="M137"/>
      <c r="S137"/>
      <c r="T137"/>
      <c r="U137"/>
      <c r="V137"/>
      <c r="W137"/>
      <c r="X137"/>
      <c r="Y137"/>
      <c r="Z137"/>
      <c r="AA137"/>
      <c r="AB137"/>
    </row>
    <row r="138" spans="1:28" ht="14.5" x14ac:dyDescent="0.35">
      <c r="A138"/>
      <c r="B138"/>
      <c r="C138"/>
      <c r="D138"/>
      <c r="E138"/>
      <c r="F138"/>
      <c r="G138"/>
      <c r="H138"/>
      <c r="I138"/>
      <c r="J138"/>
      <c r="K138"/>
      <c r="L138"/>
      <c r="M138"/>
      <c r="S138"/>
      <c r="T138"/>
      <c r="U138"/>
      <c r="V138"/>
      <c r="W138"/>
      <c r="X138"/>
      <c r="Y138"/>
      <c r="Z138"/>
      <c r="AA138"/>
      <c r="AB138"/>
    </row>
    <row r="139" spans="1:28" ht="14.5" x14ac:dyDescent="0.35">
      <c r="A139"/>
      <c r="B139"/>
      <c r="C139"/>
      <c r="D139"/>
      <c r="E139"/>
      <c r="F139"/>
      <c r="G139"/>
      <c r="L139"/>
      <c r="M139"/>
      <c r="S139"/>
      <c r="T139"/>
      <c r="U139"/>
      <c r="V139"/>
      <c r="W139"/>
      <c r="X139"/>
      <c r="Y139"/>
      <c r="Z139"/>
      <c r="AA139"/>
      <c r="AB139"/>
    </row>
    <row r="140" spans="1:28" ht="14.5" x14ac:dyDescent="0.35">
      <c r="A140"/>
      <c r="B140"/>
      <c r="C140"/>
      <c r="D140"/>
      <c r="E140"/>
      <c r="F140"/>
      <c r="G140"/>
      <c r="H140"/>
      <c r="I140"/>
      <c r="J140"/>
      <c r="K140"/>
      <c r="L140"/>
      <c r="M140"/>
      <c r="S140"/>
      <c r="T140"/>
      <c r="U140"/>
      <c r="V140"/>
      <c r="W140"/>
      <c r="X140"/>
      <c r="Y140"/>
      <c r="Z140"/>
      <c r="AA140"/>
      <c r="AB140"/>
    </row>
    <row r="141" spans="1:28" ht="14.5" x14ac:dyDescent="0.35">
      <c r="A141"/>
      <c r="B141"/>
      <c r="C141"/>
      <c r="D141"/>
      <c r="E141"/>
      <c r="F141"/>
      <c r="G141"/>
      <c r="H141"/>
      <c r="I141"/>
      <c r="J141"/>
      <c r="K141"/>
      <c r="L141"/>
      <c r="M141"/>
      <c r="S141"/>
      <c r="T141"/>
      <c r="U141"/>
      <c r="V141"/>
      <c r="W141"/>
      <c r="X141"/>
      <c r="Y141"/>
      <c r="Z141"/>
      <c r="AA141"/>
      <c r="AB141"/>
    </row>
    <row r="142" spans="1:28" ht="14.5" x14ac:dyDescent="0.35">
      <c r="A142"/>
      <c r="B142"/>
      <c r="C142"/>
      <c r="D142"/>
      <c r="E142"/>
      <c r="F142"/>
      <c r="G142"/>
      <c r="H142"/>
      <c r="I142"/>
      <c r="J142"/>
      <c r="K142"/>
      <c r="L142"/>
      <c r="M142"/>
      <c r="S142"/>
      <c r="T142"/>
      <c r="U142"/>
      <c r="V142"/>
      <c r="W142"/>
      <c r="X142"/>
      <c r="Y142"/>
      <c r="Z142"/>
      <c r="AA142"/>
      <c r="AB142"/>
    </row>
    <row r="143" spans="1:28" ht="14.5" x14ac:dyDescent="0.35">
      <c r="A143"/>
      <c r="B143"/>
      <c r="C143"/>
      <c r="D143"/>
      <c r="E143"/>
      <c r="F143"/>
      <c r="G143"/>
      <c r="H143"/>
      <c r="I143"/>
      <c r="J143"/>
      <c r="K143"/>
      <c r="L143"/>
      <c r="M143"/>
      <c r="S143"/>
      <c r="T143"/>
      <c r="U143"/>
      <c r="V143"/>
      <c r="W143"/>
      <c r="X143"/>
      <c r="Y143"/>
      <c r="Z143"/>
      <c r="AA143"/>
      <c r="AB143"/>
    </row>
    <row r="144" spans="1:28" ht="14.5" x14ac:dyDescent="0.35">
      <c r="A144"/>
      <c r="B144"/>
      <c r="C144"/>
      <c r="D144"/>
      <c r="E144"/>
      <c r="F144"/>
      <c r="G144"/>
      <c r="H144"/>
      <c r="I144"/>
      <c r="J144"/>
      <c r="K144"/>
      <c r="L144"/>
      <c r="M144"/>
      <c r="S144"/>
      <c r="T144"/>
      <c r="U144"/>
      <c r="V144"/>
      <c r="W144"/>
      <c r="X144"/>
      <c r="Y144"/>
      <c r="Z144"/>
      <c r="AA144"/>
      <c r="AB144"/>
    </row>
    <row r="145" spans="1:28" ht="14.5" x14ac:dyDescent="0.35">
      <c r="A145"/>
      <c r="B145"/>
      <c r="C145"/>
      <c r="D145"/>
      <c r="E145"/>
      <c r="F145"/>
      <c r="G145"/>
      <c r="H145"/>
      <c r="I145"/>
      <c r="J145"/>
      <c r="K145"/>
      <c r="L145"/>
      <c r="M145"/>
      <c r="S145"/>
      <c r="T145"/>
      <c r="U145"/>
      <c r="V145"/>
      <c r="W145"/>
      <c r="X145"/>
      <c r="Y145"/>
      <c r="Z145"/>
      <c r="AA145"/>
      <c r="AB145"/>
    </row>
    <row r="146" spans="1:28" ht="14.5" x14ac:dyDescent="0.35">
      <c r="A146"/>
      <c r="B146"/>
      <c r="C146"/>
      <c r="D146"/>
      <c r="E146"/>
      <c r="F146"/>
      <c r="G146"/>
      <c r="H146"/>
      <c r="I146"/>
      <c r="J146"/>
      <c r="K146"/>
      <c r="L146"/>
      <c r="M146"/>
      <c r="S146"/>
      <c r="T146"/>
      <c r="U146"/>
      <c r="V146"/>
      <c r="W146"/>
      <c r="X146"/>
      <c r="Y146"/>
      <c r="Z146"/>
      <c r="AA146"/>
      <c r="AB146"/>
    </row>
    <row r="147" spans="1:28" ht="14.5" x14ac:dyDescent="0.35">
      <c r="A147"/>
      <c r="B147"/>
      <c r="C147"/>
      <c r="D147"/>
      <c r="E147"/>
      <c r="F147"/>
      <c r="G147"/>
      <c r="H147"/>
      <c r="I147"/>
      <c r="J147"/>
      <c r="K147"/>
      <c r="L147"/>
      <c r="M147"/>
      <c r="S147"/>
      <c r="T147"/>
      <c r="U147"/>
      <c r="V147"/>
      <c r="W147"/>
      <c r="X147"/>
      <c r="Y147"/>
      <c r="Z147"/>
      <c r="AA147"/>
      <c r="AB147"/>
    </row>
    <row r="148" spans="1:28" ht="14.5" x14ac:dyDescent="0.35">
      <c r="A148"/>
      <c r="B148"/>
      <c r="C148"/>
      <c r="D148"/>
      <c r="E148"/>
      <c r="F148"/>
      <c r="G148"/>
      <c r="H148"/>
      <c r="I148"/>
      <c r="J148"/>
      <c r="K148"/>
      <c r="L148"/>
      <c r="M148"/>
      <c r="S148"/>
      <c r="T148"/>
      <c r="U148"/>
      <c r="V148"/>
      <c r="W148"/>
      <c r="X148"/>
      <c r="Y148"/>
      <c r="Z148"/>
      <c r="AA148"/>
      <c r="AB148"/>
    </row>
    <row r="149" spans="1:28" ht="14.5" x14ac:dyDescent="0.35">
      <c r="A149"/>
      <c r="B149"/>
      <c r="C149"/>
      <c r="D149"/>
      <c r="E149"/>
      <c r="F149"/>
      <c r="G149"/>
      <c r="H149"/>
      <c r="I149"/>
      <c r="J149"/>
      <c r="K149"/>
      <c r="L149"/>
      <c r="M149"/>
      <c r="S149"/>
      <c r="T149"/>
      <c r="U149"/>
      <c r="V149"/>
      <c r="W149"/>
      <c r="X149"/>
      <c r="Y149"/>
      <c r="Z149"/>
      <c r="AA149"/>
      <c r="AB149"/>
    </row>
    <row r="150" spans="1:28" ht="14.5" x14ac:dyDescent="0.35">
      <c r="A150"/>
      <c r="B150"/>
      <c r="C150"/>
      <c r="D150"/>
      <c r="E150"/>
      <c r="F150"/>
      <c r="G150"/>
      <c r="H150"/>
      <c r="I150"/>
      <c r="J150"/>
      <c r="K150"/>
      <c r="L150"/>
      <c r="M150"/>
      <c r="S150"/>
      <c r="T150"/>
      <c r="U150"/>
      <c r="V150"/>
      <c r="W150"/>
      <c r="X150"/>
      <c r="Y150"/>
      <c r="Z150"/>
      <c r="AA150"/>
      <c r="AB150"/>
    </row>
    <row r="151" spans="1:28" ht="14.5" x14ac:dyDescent="0.35">
      <c r="A151"/>
      <c r="B151"/>
      <c r="C151"/>
      <c r="D151"/>
      <c r="E151"/>
      <c r="F151"/>
      <c r="G151"/>
      <c r="H151"/>
      <c r="I151"/>
      <c r="J151"/>
      <c r="K151"/>
      <c r="L151"/>
      <c r="M151"/>
      <c r="S151"/>
      <c r="T151"/>
      <c r="U151"/>
      <c r="V151"/>
      <c r="W151"/>
      <c r="X151"/>
      <c r="Y151"/>
      <c r="Z151"/>
      <c r="AA151"/>
      <c r="AB151"/>
    </row>
    <row r="152" spans="1:28" ht="14.5" x14ac:dyDescent="0.35">
      <c r="A152"/>
      <c r="B152"/>
      <c r="C152"/>
      <c r="D152"/>
      <c r="E152"/>
      <c r="F152"/>
      <c r="G152"/>
      <c r="H152"/>
      <c r="I152"/>
      <c r="J152"/>
      <c r="K152"/>
      <c r="L152"/>
      <c r="M152"/>
      <c r="S152"/>
      <c r="T152"/>
      <c r="U152"/>
      <c r="V152"/>
      <c r="W152"/>
      <c r="X152"/>
      <c r="Y152"/>
      <c r="Z152"/>
      <c r="AA152"/>
      <c r="AB152"/>
    </row>
    <row r="153" spans="1:28" ht="14.5" x14ac:dyDescent="0.35">
      <c r="A153"/>
      <c r="B153"/>
      <c r="C153"/>
      <c r="D153"/>
      <c r="E153"/>
      <c r="F153"/>
      <c r="G153"/>
      <c r="H153"/>
      <c r="I153"/>
      <c r="J153"/>
      <c r="K153"/>
      <c r="L153"/>
      <c r="M153"/>
      <c r="S153"/>
      <c r="T153"/>
      <c r="U153"/>
      <c r="V153"/>
      <c r="W153"/>
      <c r="X153"/>
      <c r="Y153"/>
      <c r="Z153"/>
      <c r="AA153"/>
      <c r="AB153"/>
    </row>
    <row r="154" spans="1:28" ht="14.5" x14ac:dyDescent="0.35">
      <c r="A154"/>
      <c r="B154"/>
      <c r="C154"/>
      <c r="D154"/>
      <c r="E154"/>
      <c r="F154"/>
      <c r="G154"/>
      <c r="H154"/>
      <c r="I154"/>
      <c r="J154"/>
      <c r="K154"/>
      <c r="L154"/>
      <c r="M154"/>
      <c r="S154"/>
      <c r="T154"/>
      <c r="U154"/>
      <c r="V154"/>
      <c r="W154"/>
      <c r="X154"/>
      <c r="Y154"/>
      <c r="Z154"/>
      <c r="AA154"/>
      <c r="AB154"/>
    </row>
    <row r="155" spans="1:28" ht="14.5" x14ac:dyDescent="0.35">
      <c r="A155"/>
      <c r="B155"/>
      <c r="C155"/>
      <c r="D155"/>
      <c r="E155"/>
      <c r="F155"/>
      <c r="G155"/>
      <c r="H155"/>
      <c r="I155"/>
      <c r="J155"/>
      <c r="K155"/>
      <c r="L155"/>
      <c r="M155"/>
      <c r="S155"/>
      <c r="T155"/>
      <c r="U155"/>
      <c r="V155"/>
      <c r="W155"/>
      <c r="X155"/>
      <c r="Y155"/>
      <c r="Z155"/>
      <c r="AA155"/>
      <c r="AB155"/>
    </row>
    <row r="156" spans="1:28" ht="14.5" x14ac:dyDescent="0.35">
      <c r="A156"/>
      <c r="B156"/>
      <c r="C156"/>
      <c r="D156"/>
      <c r="E156"/>
      <c r="F156"/>
      <c r="G156"/>
      <c r="H156"/>
      <c r="I156"/>
      <c r="J156"/>
      <c r="K156"/>
      <c r="L156"/>
      <c r="M156"/>
      <c r="S156"/>
      <c r="T156"/>
      <c r="U156"/>
      <c r="V156"/>
      <c r="W156"/>
      <c r="X156"/>
      <c r="Y156"/>
      <c r="Z156"/>
      <c r="AA156"/>
      <c r="AB156"/>
    </row>
    <row r="157" spans="1:28" ht="14.5" x14ac:dyDescent="0.35">
      <c r="A157"/>
      <c r="B157"/>
      <c r="C157"/>
      <c r="D157"/>
      <c r="E157"/>
      <c r="F157"/>
      <c r="G157"/>
      <c r="H157"/>
      <c r="I157"/>
      <c r="J157"/>
      <c r="K157"/>
      <c r="L157"/>
      <c r="M157"/>
      <c r="S157"/>
      <c r="T157"/>
      <c r="U157"/>
      <c r="V157"/>
      <c r="W157"/>
      <c r="X157"/>
      <c r="Y157"/>
      <c r="Z157"/>
      <c r="AA157"/>
      <c r="AB157"/>
    </row>
    <row r="158" spans="1:28" ht="14.5" x14ac:dyDescent="0.35">
      <c r="A158"/>
      <c r="B158"/>
      <c r="C158"/>
      <c r="D158"/>
      <c r="E158"/>
      <c r="F158"/>
      <c r="G158"/>
      <c r="H158"/>
      <c r="I158"/>
      <c r="J158"/>
      <c r="K158"/>
      <c r="L158"/>
      <c r="M158"/>
      <c r="S158"/>
      <c r="T158"/>
      <c r="U158"/>
      <c r="V158"/>
      <c r="W158"/>
      <c r="X158"/>
      <c r="Y158"/>
      <c r="Z158"/>
      <c r="AA158"/>
      <c r="AB158"/>
    </row>
    <row r="159" spans="1:28" ht="14.5" x14ac:dyDescent="0.35">
      <c r="A159"/>
      <c r="B159"/>
      <c r="C159"/>
      <c r="D159"/>
      <c r="E159"/>
      <c r="F159"/>
      <c r="G159"/>
      <c r="H159"/>
      <c r="I159"/>
      <c r="J159"/>
      <c r="K159"/>
      <c r="L159"/>
      <c r="M159"/>
      <c r="S159"/>
      <c r="T159"/>
      <c r="U159"/>
      <c r="V159"/>
      <c r="W159"/>
      <c r="X159"/>
      <c r="Y159"/>
      <c r="Z159"/>
      <c r="AA159"/>
      <c r="AB159"/>
    </row>
    <row r="160" spans="1:28" ht="14.5" x14ac:dyDescent="0.35">
      <c r="A160"/>
      <c r="B160"/>
      <c r="C160"/>
      <c r="D160"/>
      <c r="E160"/>
      <c r="F160"/>
      <c r="G160"/>
      <c r="H160"/>
      <c r="I160"/>
      <c r="J160"/>
      <c r="K160"/>
      <c r="L160"/>
      <c r="M160"/>
      <c r="S160"/>
      <c r="T160"/>
      <c r="U160"/>
      <c r="V160"/>
      <c r="W160"/>
      <c r="X160"/>
      <c r="Y160"/>
      <c r="Z160"/>
      <c r="AA160"/>
      <c r="AB160"/>
    </row>
    <row r="161" spans="1:28" ht="14.5" x14ac:dyDescent="0.35">
      <c r="A161"/>
      <c r="B161"/>
      <c r="C161"/>
      <c r="D161"/>
      <c r="E161"/>
      <c r="F161"/>
      <c r="G161"/>
      <c r="H161"/>
      <c r="I161"/>
      <c r="J161"/>
      <c r="K161"/>
      <c r="L161"/>
      <c r="M161"/>
      <c r="S161"/>
      <c r="T161"/>
      <c r="U161"/>
      <c r="V161"/>
      <c r="W161"/>
      <c r="X161"/>
      <c r="Y161"/>
      <c r="Z161"/>
      <c r="AA161"/>
      <c r="AB161"/>
    </row>
    <row r="162" spans="1:28" ht="14.5" x14ac:dyDescent="0.35">
      <c r="A162"/>
      <c r="B162"/>
      <c r="C162"/>
      <c r="D162"/>
      <c r="E162"/>
      <c r="F162"/>
      <c r="G162"/>
      <c r="H162"/>
      <c r="I162"/>
      <c r="J162"/>
      <c r="K162"/>
      <c r="L162"/>
      <c r="M162"/>
      <c r="S162"/>
      <c r="T162"/>
      <c r="U162"/>
      <c r="V162"/>
      <c r="W162"/>
      <c r="X162"/>
      <c r="Y162"/>
      <c r="Z162"/>
      <c r="AA162"/>
      <c r="AB162"/>
    </row>
    <row r="163" spans="1:28" ht="14.5" x14ac:dyDescent="0.35">
      <c r="A163"/>
      <c r="B163"/>
      <c r="C163"/>
      <c r="D163"/>
      <c r="E163"/>
      <c r="F163"/>
      <c r="G163"/>
      <c r="H163"/>
      <c r="I163"/>
      <c r="J163"/>
      <c r="K163"/>
      <c r="L163"/>
      <c r="M163"/>
      <c r="S163"/>
      <c r="T163"/>
      <c r="U163"/>
      <c r="V163"/>
      <c r="W163"/>
      <c r="X163"/>
      <c r="Y163"/>
      <c r="Z163"/>
      <c r="AA163"/>
      <c r="AB163"/>
    </row>
    <row r="164" spans="1:28" ht="14.5" x14ac:dyDescent="0.35">
      <c r="A164"/>
      <c r="B164"/>
      <c r="C164"/>
      <c r="D164"/>
      <c r="E164"/>
      <c r="F164"/>
      <c r="G164"/>
      <c r="H164"/>
      <c r="I164"/>
      <c r="J164"/>
      <c r="K164"/>
      <c r="L164"/>
      <c r="M164"/>
      <c r="S164"/>
      <c r="T164"/>
      <c r="U164"/>
      <c r="V164"/>
      <c r="W164"/>
      <c r="X164"/>
      <c r="Y164"/>
      <c r="Z164"/>
      <c r="AA164"/>
      <c r="AB164"/>
    </row>
    <row r="165" spans="1:28" ht="14.5" x14ac:dyDescent="0.35">
      <c r="A165"/>
      <c r="B165"/>
      <c r="C165"/>
      <c r="D165"/>
      <c r="E165"/>
      <c r="F165"/>
      <c r="G165"/>
      <c r="H165"/>
      <c r="I165"/>
      <c r="J165"/>
      <c r="K165"/>
      <c r="L165"/>
      <c r="M165"/>
      <c r="S165"/>
      <c r="T165"/>
      <c r="U165"/>
      <c r="V165"/>
      <c r="W165"/>
      <c r="X165"/>
      <c r="Y165"/>
      <c r="Z165"/>
      <c r="AA165"/>
      <c r="AB165"/>
    </row>
    <row r="166" spans="1:28" ht="14.5" x14ac:dyDescent="0.35">
      <c r="A166"/>
      <c r="B166"/>
      <c r="C166"/>
      <c r="D166"/>
      <c r="E166"/>
      <c r="F166"/>
      <c r="G166"/>
      <c r="H166"/>
      <c r="I166"/>
      <c r="J166"/>
      <c r="K166"/>
      <c r="L166"/>
      <c r="M166"/>
      <c r="S166"/>
      <c r="T166"/>
      <c r="U166"/>
      <c r="V166"/>
      <c r="W166"/>
      <c r="X166"/>
      <c r="Y166"/>
      <c r="Z166"/>
      <c r="AA166"/>
      <c r="AB166"/>
    </row>
    <row r="167" spans="1:28" ht="14.5" x14ac:dyDescent="0.35">
      <c r="A167"/>
      <c r="B167"/>
      <c r="C167"/>
      <c r="D167"/>
      <c r="E167"/>
      <c r="F167"/>
      <c r="G167"/>
      <c r="H167"/>
      <c r="I167"/>
      <c r="J167"/>
      <c r="K167"/>
      <c r="L167"/>
      <c r="M167"/>
      <c r="S167"/>
      <c r="T167"/>
      <c r="U167"/>
      <c r="V167"/>
      <c r="W167"/>
      <c r="X167"/>
      <c r="Y167"/>
      <c r="Z167"/>
      <c r="AA167"/>
      <c r="AB167"/>
    </row>
    <row r="168" spans="1:28" ht="14.5" x14ac:dyDescent="0.35">
      <c r="A168"/>
      <c r="B168"/>
      <c r="C168"/>
      <c r="D168"/>
      <c r="E168"/>
      <c r="F168"/>
      <c r="G168"/>
      <c r="H168"/>
      <c r="I168"/>
      <c r="J168"/>
      <c r="K168"/>
      <c r="L168"/>
      <c r="M168"/>
      <c r="S168"/>
      <c r="T168"/>
      <c r="U168"/>
      <c r="V168"/>
      <c r="W168"/>
      <c r="X168"/>
      <c r="Y168"/>
      <c r="Z168"/>
      <c r="AA168"/>
      <c r="AB168"/>
    </row>
    <row r="169" spans="1:28" ht="14.5" x14ac:dyDescent="0.35">
      <c r="A169"/>
      <c r="B169"/>
      <c r="C169"/>
      <c r="D169"/>
      <c r="E169"/>
      <c r="F169"/>
      <c r="G169"/>
      <c r="H169"/>
      <c r="I169"/>
      <c r="J169"/>
      <c r="K169"/>
      <c r="L169"/>
      <c r="M169"/>
      <c r="S169"/>
      <c r="T169"/>
      <c r="U169"/>
      <c r="V169"/>
      <c r="W169"/>
      <c r="X169"/>
      <c r="Y169"/>
      <c r="Z169"/>
      <c r="AA169"/>
      <c r="AB169"/>
    </row>
    <row r="170" spans="1:28" ht="14.5" x14ac:dyDescent="0.35">
      <c r="A170"/>
      <c r="B170"/>
      <c r="C170"/>
      <c r="D170"/>
      <c r="E170"/>
      <c r="F170"/>
      <c r="G170"/>
      <c r="H170"/>
      <c r="I170"/>
      <c r="J170"/>
      <c r="K170"/>
      <c r="L170"/>
      <c r="M170"/>
      <c r="S170"/>
      <c r="T170"/>
      <c r="U170"/>
      <c r="V170"/>
      <c r="W170"/>
      <c r="X170"/>
      <c r="Y170"/>
      <c r="Z170"/>
      <c r="AA170"/>
      <c r="AB170"/>
    </row>
    <row r="171" spans="1:28" ht="14.5" x14ac:dyDescent="0.35">
      <c r="A171"/>
      <c r="B171"/>
      <c r="C171"/>
      <c r="D171"/>
      <c r="E171"/>
      <c r="F171"/>
      <c r="G171"/>
      <c r="H171"/>
      <c r="I171"/>
      <c r="J171"/>
      <c r="K171"/>
      <c r="L171"/>
      <c r="M171"/>
      <c r="S171"/>
      <c r="T171"/>
      <c r="U171"/>
      <c r="V171"/>
      <c r="W171"/>
      <c r="X171"/>
      <c r="Y171"/>
      <c r="Z171"/>
      <c r="AA171"/>
      <c r="AB171"/>
    </row>
    <row r="172" spans="1:28" ht="14.5" x14ac:dyDescent="0.35">
      <c r="A172"/>
      <c r="B172"/>
      <c r="C172"/>
      <c r="D172"/>
      <c r="E172"/>
      <c r="F172"/>
      <c r="G172"/>
      <c r="H172"/>
      <c r="I172"/>
      <c r="J172"/>
      <c r="K172"/>
      <c r="L172"/>
      <c r="M172"/>
      <c r="S172"/>
      <c r="T172"/>
      <c r="U172"/>
      <c r="V172"/>
      <c r="W172"/>
      <c r="X172"/>
      <c r="Y172"/>
      <c r="Z172"/>
      <c r="AA172"/>
      <c r="AB172"/>
    </row>
    <row r="173" spans="1:28" ht="14.5" x14ac:dyDescent="0.35">
      <c r="A173"/>
      <c r="B173"/>
      <c r="C173"/>
      <c r="D173"/>
      <c r="E173"/>
      <c r="F173"/>
      <c r="G173"/>
      <c r="H173"/>
      <c r="I173"/>
      <c r="J173"/>
      <c r="K173"/>
      <c r="L173"/>
      <c r="M173"/>
      <c r="S173"/>
      <c r="T173"/>
      <c r="U173"/>
      <c r="V173"/>
      <c r="W173"/>
      <c r="X173"/>
      <c r="Y173"/>
      <c r="Z173"/>
      <c r="AA173"/>
      <c r="AB173"/>
    </row>
    <row r="174" spans="1:28" ht="14.5" x14ac:dyDescent="0.35">
      <c r="A174"/>
      <c r="B174"/>
      <c r="C174"/>
      <c r="D174"/>
      <c r="E174"/>
      <c r="F174"/>
      <c r="G174"/>
      <c r="H174"/>
      <c r="I174"/>
      <c r="J174"/>
      <c r="K174"/>
      <c r="L174"/>
      <c r="M174"/>
    </row>
    <row r="175" spans="1:28" ht="14.5" x14ac:dyDescent="0.35">
      <c r="A175"/>
      <c r="B175"/>
      <c r="C175"/>
      <c r="D175"/>
      <c r="E175"/>
      <c r="F175"/>
      <c r="G175"/>
      <c r="H175"/>
      <c r="I175"/>
      <c r="J175"/>
      <c r="K175"/>
      <c r="L175"/>
      <c r="M175"/>
    </row>
    <row r="176" spans="1:28" ht="14.5" x14ac:dyDescent="0.35">
      <c r="A176"/>
      <c r="B176"/>
      <c r="C176"/>
      <c r="D176"/>
      <c r="E176"/>
      <c r="F176"/>
      <c r="G176"/>
      <c r="H176"/>
      <c r="I176"/>
      <c r="J176"/>
      <c r="K176"/>
      <c r="L176"/>
      <c r="M176"/>
    </row>
    <row r="177" spans="1:13" ht="14.5" x14ac:dyDescent="0.35">
      <c r="A177"/>
      <c r="B177"/>
      <c r="C177"/>
      <c r="D177"/>
      <c r="E177"/>
      <c r="F177"/>
      <c r="G177"/>
      <c r="H177"/>
      <c r="I177"/>
      <c r="J177"/>
      <c r="K177"/>
      <c r="L177"/>
      <c r="M177"/>
    </row>
    <row r="178" spans="1:13" ht="14.5" x14ac:dyDescent="0.35">
      <c r="A178"/>
      <c r="B178"/>
      <c r="C178"/>
      <c r="D178"/>
      <c r="E178"/>
      <c r="F178"/>
      <c r="G178"/>
      <c r="H178"/>
      <c r="I178"/>
      <c r="J178"/>
      <c r="K178"/>
      <c r="L178"/>
      <c r="M178"/>
    </row>
    <row r="179" spans="1:13" ht="14.5" x14ac:dyDescent="0.35">
      <c r="A179"/>
      <c r="B179"/>
      <c r="C179"/>
      <c r="D179"/>
      <c r="E179"/>
      <c r="F179"/>
      <c r="G179"/>
      <c r="H179"/>
      <c r="I179"/>
      <c r="J179"/>
      <c r="K179"/>
      <c r="L179"/>
      <c r="M179"/>
    </row>
    <row r="180" spans="1:13" ht="14.5" x14ac:dyDescent="0.35">
      <c r="A180"/>
      <c r="B180"/>
      <c r="C180"/>
      <c r="D180"/>
      <c r="E180"/>
      <c r="F180"/>
      <c r="G180"/>
      <c r="H180"/>
      <c r="I180"/>
      <c r="J180"/>
      <c r="K180"/>
      <c r="L180"/>
      <c r="M180"/>
    </row>
    <row r="181" spans="1:13" ht="14.5" x14ac:dyDescent="0.35">
      <c r="A181"/>
      <c r="B181"/>
      <c r="C181"/>
      <c r="D181"/>
      <c r="E181"/>
      <c r="F181"/>
      <c r="G181"/>
      <c r="H181"/>
      <c r="I181"/>
      <c r="J181"/>
      <c r="K181"/>
      <c r="L181"/>
      <c r="M181"/>
    </row>
    <row r="182" spans="1:13" ht="14.5" x14ac:dyDescent="0.35">
      <c r="A182"/>
      <c r="B182"/>
      <c r="C182"/>
      <c r="D182"/>
      <c r="E182"/>
      <c r="F182"/>
      <c r="G182"/>
      <c r="H182"/>
      <c r="I182"/>
      <c r="J182"/>
      <c r="K182"/>
      <c r="L182"/>
      <c r="M182"/>
    </row>
    <row r="183" spans="1:13" ht="14.5" x14ac:dyDescent="0.35">
      <c r="A183"/>
      <c r="B183"/>
      <c r="C183"/>
      <c r="D183"/>
      <c r="E183"/>
      <c r="F183"/>
      <c r="G183"/>
      <c r="H183"/>
      <c r="I183"/>
      <c r="J183"/>
      <c r="K183"/>
      <c r="L183"/>
      <c r="M183"/>
    </row>
    <row r="184" spans="1:13" ht="14.5" x14ac:dyDescent="0.35">
      <c r="A184"/>
      <c r="B184"/>
      <c r="C184"/>
      <c r="D184"/>
      <c r="E184"/>
      <c r="F184"/>
      <c r="G184"/>
      <c r="H184"/>
      <c r="I184"/>
      <c r="J184"/>
      <c r="K184"/>
      <c r="L184"/>
      <c r="M184"/>
    </row>
    <row r="185" spans="1:13" ht="14.5" x14ac:dyDescent="0.35">
      <c r="A185"/>
      <c r="B185"/>
      <c r="C185"/>
      <c r="D185"/>
      <c r="E185"/>
      <c r="F185"/>
      <c r="G185"/>
      <c r="H185"/>
      <c r="I185"/>
      <c r="J185"/>
      <c r="K185"/>
      <c r="L185"/>
      <c r="M185"/>
    </row>
    <row r="186" spans="1:13" ht="14.5" x14ac:dyDescent="0.35">
      <c r="A186"/>
      <c r="B186"/>
      <c r="C186"/>
      <c r="D186"/>
      <c r="E186"/>
      <c r="F186"/>
      <c r="G186"/>
      <c r="H186"/>
      <c r="I186"/>
      <c r="J186"/>
      <c r="K186"/>
      <c r="L186"/>
      <c r="M186"/>
    </row>
    <row r="187" spans="1:13" ht="14.5" x14ac:dyDescent="0.35">
      <c r="A187"/>
      <c r="B187"/>
      <c r="C187"/>
      <c r="D187"/>
      <c r="E187"/>
      <c r="F187"/>
      <c r="G187"/>
      <c r="H187"/>
      <c r="I187"/>
      <c r="J187"/>
      <c r="K187"/>
      <c r="L187"/>
      <c r="M187"/>
    </row>
    <row r="188" spans="1:13" ht="14.5" x14ac:dyDescent="0.35">
      <c r="A188"/>
      <c r="B188"/>
      <c r="C188"/>
      <c r="D188"/>
      <c r="E188"/>
      <c r="F188"/>
      <c r="G188"/>
      <c r="H188"/>
      <c r="I188"/>
      <c r="J188"/>
      <c r="K188"/>
      <c r="L188"/>
      <c r="M188"/>
    </row>
    <row r="189" spans="1:13" ht="14.5" x14ac:dyDescent="0.35">
      <c r="A189"/>
      <c r="B189"/>
      <c r="C189"/>
      <c r="D189"/>
      <c r="E189"/>
      <c r="F189"/>
      <c r="G189"/>
      <c r="H189"/>
      <c r="I189"/>
      <c r="J189"/>
      <c r="K189"/>
      <c r="L189"/>
      <c r="M189"/>
    </row>
    <row r="190" spans="1:13" ht="14.5" x14ac:dyDescent="0.35">
      <c r="A190"/>
      <c r="B190"/>
      <c r="C190"/>
      <c r="D190"/>
      <c r="E190"/>
      <c r="F190"/>
      <c r="G190"/>
      <c r="H190"/>
      <c r="I190"/>
      <c r="J190"/>
      <c r="K190"/>
      <c r="L190"/>
      <c r="M190"/>
    </row>
    <row r="191" spans="1:13" ht="14.5" x14ac:dyDescent="0.35">
      <c r="A191"/>
      <c r="B191"/>
      <c r="C191"/>
      <c r="D191"/>
      <c r="E191"/>
      <c r="F191"/>
      <c r="G191"/>
      <c r="H191"/>
      <c r="I191"/>
      <c r="J191"/>
      <c r="K191"/>
      <c r="L191"/>
      <c r="M191"/>
    </row>
    <row r="192" spans="1:13" ht="14.5" x14ac:dyDescent="0.35">
      <c r="A192"/>
      <c r="B192"/>
      <c r="C192"/>
      <c r="D192"/>
      <c r="E192"/>
      <c r="F192"/>
      <c r="G192"/>
      <c r="H192"/>
      <c r="I192"/>
      <c r="J192"/>
      <c r="K192"/>
      <c r="L192"/>
      <c r="M192"/>
    </row>
    <row r="193" spans="1:13" ht="14.5" x14ac:dyDescent="0.35">
      <c r="A193"/>
      <c r="B193"/>
      <c r="C193"/>
      <c r="D193"/>
      <c r="E193"/>
      <c r="F193"/>
      <c r="G193"/>
      <c r="H193"/>
      <c r="I193"/>
      <c r="J193"/>
      <c r="K193"/>
      <c r="L193"/>
      <c r="M193"/>
    </row>
    <row r="194" spans="1:13" ht="14.5" x14ac:dyDescent="0.35">
      <c r="A194"/>
      <c r="B194"/>
      <c r="C194"/>
      <c r="D194"/>
      <c r="E194"/>
      <c r="F194"/>
      <c r="G194"/>
      <c r="H194"/>
      <c r="I194"/>
      <c r="J194"/>
      <c r="K194"/>
      <c r="L194"/>
      <c r="M194"/>
    </row>
    <row r="195" spans="1:13" ht="14.5" x14ac:dyDescent="0.35">
      <c r="A195"/>
      <c r="B195"/>
      <c r="C195"/>
      <c r="D195"/>
      <c r="E195"/>
      <c r="F195"/>
      <c r="G195"/>
      <c r="H195"/>
      <c r="I195"/>
      <c r="J195"/>
      <c r="K195"/>
      <c r="L195"/>
      <c r="M195"/>
    </row>
    <row r="196" spans="1:13" ht="14.5" x14ac:dyDescent="0.35">
      <c r="A196"/>
      <c r="B196"/>
      <c r="C196"/>
      <c r="D196"/>
      <c r="E196"/>
      <c r="F196"/>
      <c r="G196"/>
      <c r="H196"/>
      <c r="I196"/>
      <c r="J196"/>
      <c r="K196"/>
      <c r="L196"/>
      <c r="M196"/>
    </row>
    <row r="197" spans="1:13" ht="14.5" x14ac:dyDescent="0.35">
      <c r="A197"/>
      <c r="B197"/>
      <c r="C197"/>
      <c r="D197"/>
      <c r="E197"/>
      <c r="F197"/>
      <c r="G197"/>
      <c r="H197"/>
      <c r="I197"/>
      <c r="J197"/>
      <c r="K197"/>
      <c r="L197"/>
      <c r="M197"/>
    </row>
    <row r="198" spans="1:13" ht="14.5" x14ac:dyDescent="0.35">
      <c r="A198"/>
      <c r="B198"/>
      <c r="C198"/>
      <c r="D198"/>
      <c r="E198"/>
      <c r="F198"/>
      <c r="G198"/>
      <c r="H198"/>
      <c r="I198"/>
      <c r="J198"/>
      <c r="K198"/>
      <c r="L198"/>
      <c r="M198"/>
    </row>
    <row r="199" spans="1:13" ht="14.5" x14ac:dyDescent="0.35">
      <c r="A199"/>
      <c r="B199"/>
      <c r="C199"/>
      <c r="D199"/>
      <c r="E199"/>
      <c r="F199"/>
      <c r="G199"/>
      <c r="H199"/>
      <c r="I199"/>
      <c r="J199"/>
      <c r="K199"/>
      <c r="L199"/>
      <c r="M199"/>
    </row>
    <row r="200" spans="1:13" ht="14.5" x14ac:dyDescent="0.35">
      <c r="A200"/>
      <c r="B200"/>
      <c r="C200"/>
      <c r="D200"/>
      <c r="E200"/>
      <c r="F200"/>
      <c r="G200"/>
      <c r="H200"/>
      <c r="I200"/>
      <c r="J200"/>
      <c r="K200"/>
      <c r="L200"/>
      <c r="M200"/>
    </row>
    <row r="201" spans="1:13" ht="14.5" x14ac:dyDescent="0.35">
      <c r="A201"/>
      <c r="B201"/>
      <c r="C201"/>
      <c r="D201"/>
      <c r="E201"/>
      <c r="F201"/>
      <c r="G201"/>
      <c r="H201"/>
      <c r="I201"/>
      <c r="J201"/>
      <c r="K201"/>
      <c r="L201"/>
      <c r="M201"/>
    </row>
    <row r="202" spans="1:13" ht="14.5" x14ac:dyDescent="0.35">
      <c r="A202"/>
      <c r="B202"/>
      <c r="C202"/>
      <c r="D202"/>
      <c r="E202"/>
      <c r="F202"/>
      <c r="H202"/>
      <c r="I202"/>
      <c r="J202"/>
      <c r="K202"/>
    </row>
    <row r="203" spans="1:13" ht="14.5" x14ac:dyDescent="0.35">
      <c r="A203"/>
      <c r="B203"/>
      <c r="C203"/>
      <c r="D203"/>
      <c r="E203"/>
      <c r="F203"/>
      <c r="H203"/>
      <c r="I203"/>
      <c r="J203"/>
      <c r="K203"/>
    </row>
    <row r="204" spans="1:13" ht="14.5" x14ac:dyDescent="0.35">
      <c r="A204"/>
      <c r="B204"/>
      <c r="C204"/>
      <c r="D204"/>
      <c r="E204"/>
      <c r="F204"/>
      <c r="H204"/>
      <c r="I204"/>
      <c r="J204"/>
      <c r="K204"/>
    </row>
    <row r="205" spans="1:13" ht="14.5" x14ac:dyDescent="0.35">
      <c r="B205"/>
      <c r="C205"/>
      <c r="D205"/>
      <c r="H205"/>
      <c r="I205"/>
      <c r="J205"/>
      <c r="K205"/>
    </row>
    <row r="206" spans="1:13" ht="14.5" x14ac:dyDescent="0.35">
      <c r="B206"/>
      <c r="C206"/>
      <c r="D206"/>
      <c r="H206"/>
      <c r="I206"/>
      <c r="J206"/>
      <c r="K206"/>
    </row>
    <row r="207" spans="1:13" ht="14.5" x14ac:dyDescent="0.35">
      <c r="H207"/>
      <c r="I207"/>
      <c r="J207"/>
      <c r="K207"/>
    </row>
  </sheetData>
  <conditionalFormatting sqref="C43:D45">
    <cfRule type="cellIs" dxfId="124" priority="7" operator="notEqual">
      <formula>0</formula>
    </cfRule>
  </conditionalFormatting>
  <conditionalFormatting sqref="C50:D56">
    <cfRule type="cellIs" dxfId="123" priority="2" operator="notEqual">
      <formula>0</formula>
    </cfRule>
  </conditionalFormatting>
  <conditionalFormatting sqref="D47">
    <cfRule type="cellIs" dxfId="122" priority="3" operator="notEqual">
      <formula>0</formula>
    </cfRule>
  </conditionalFormatting>
  <printOptions horizontalCentered="1"/>
  <pageMargins left="0.2" right="0.2" top="0.5" bottom="0.5" header="0.3" footer="0.3"/>
  <pageSetup scale="84" fitToHeight="0" orientation="portrait" horizontalDpi="4294967293" verticalDpi="9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T398"/>
  <sheetViews>
    <sheetView showGridLines="0" tabSelected="1" zoomScaleNormal="100" workbookViewId="0">
      <pane xSplit="2" ySplit="12" topLeftCell="C50" activePane="bottomRight" state="frozen"/>
      <selection activeCell="O3" sqref="O3"/>
      <selection pane="topRight" activeCell="O3" sqref="O3"/>
      <selection pane="bottomLeft" activeCell="O3" sqref="O3"/>
      <selection pane="bottomRight" sqref="A1:M82"/>
    </sheetView>
  </sheetViews>
  <sheetFormatPr defaultColWidth="9.26953125" defaultRowHeight="13" outlineLevelRow="1" outlineLevelCol="1" x14ac:dyDescent="0.3"/>
  <cols>
    <col min="1" max="1" width="4.7265625" style="1" bestFit="1" customWidth="1"/>
    <col min="2" max="2" width="36.26953125" style="1" customWidth="1"/>
    <col min="3" max="3" width="18.453125" style="1" customWidth="1"/>
    <col min="4" max="4" width="15" style="1" customWidth="1"/>
    <col min="5" max="5" width="17.54296875" style="1" customWidth="1"/>
    <col min="6" max="6" width="15.453125" style="1" customWidth="1"/>
    <col min="7" max="7" width="16.453125" style="1" customWidth="1"/>
    <col min="8" max="8" width="15.26953125" style="1" customWidth="1"/>
    <col min="9" max="9" width="16.26953125" style="1" customWidth="1"/>
    <col min="10" max="10" width="16.54296875" style="1" customWidth="1"/>
    <col min="11" max="11" width="16.453125" style="1" customWidth="1"/>
    <col min="12" max="12" width="15.26953125" style="1" customWidth="1"/>
    <col min="13" max="13" width="17" style="1" customWidth="1"/>
    <col min="14" max="15" width="17" style="1" hidden="1" customWidth="1" outlineLevel="1"/>
    <col min="16" max="16" width="16.26953125" style="1" hidden="1" customWidth="1" outlineLevel="1"/>
    <col min="17" max="17" width="17" style="1" hidden="1" customWidth="1" outlineLevel="1"/>
    <col min="18" max="18" width="9.26953125" style="1" collapsed="1"/>
    <col min="19" max="19" width="14.54296875" style="1" bestFit="1" customWidth="1"/>
    <col min="20" max="20" width="15" style="1" bestFit="1" customWidth="1"/>
    <col min="21" max="21" width="14.26953125" style="1" bestFit="1" customWidth="1"/>
    <col min="22" max="22" width="12.26953125" style="1" bestFit="1" customWidth="1"/>
    <col min="23" max="23" width="14.26953125" style="1" bestFit="1" customWidth="1"/>
    <col min="24" max="24" width="11.54296875" style="1" bestFit="1" customWidth="1"/>
    <col min="25" max="27" width="14.26953125" style="1" bestFit="1" customWidth="1"/>
    <col min="28" max="28" width="13.81640625" style="1" bestFit="1" customWidth="1"/>
    <col min="29" max="29" width="14.26953125" style="1" bestFit="1" customWidth="1"/>
    <col min="30" max="30" width="9.26953125" style="1"/>
    <col min="31" max="31" width="11.54296875" style="1" bestFit="1" customWidth="1"/>
    <col min="32" max="32" width="12.26953125" style="1" bestFit="1" customWidth="1"/>
    <col min="33" max="33" width="11.54296875" style="1" bestFit="1" customWidth="1"/>
    <col min="34" max="34" width="9.7265625" style="1" bestFit="1" customWidth="1"/>
    <col min="35" max="35" width="11.54296875" style="1" bestFit="1" customWidth="1"/>
    <col min="36" max="36" width="9.453125" style="1" bestFit="1" customWidth="1"/>
    <col min="37" max="39" width="11.54296875" style="1" bestFit="1" customWidth="1"/>
    <col min="40" max="40" width="11.26953125" style="1" bestFit="1" customWidth="1"/>
    <col min="41" max="41" width="11.54296875" style="1" bestFit="1" customWidth="1"/>
    <col min="42" max="16384" width="9.26953125" style="1"/>
  </cols>
  <sheetData>
    <row r="1" spans="1:17" ht="14" x14ac:dyDescent="0.3">
      <c r="A1" s="3" t="s">
        <v>73</v>
      </c>
      <c r="L1" s="108" t="s">
        <v>1940</v>
      </c>
      <c r="M1" s="109"/>
    </row>
    <row r="2" spans="1:17" x14ac:dyDescent="0.3">
      <c r="A2" s="3" t="s">
        <v>957</v>
      </c>
    </row>
    <row r="3" spans="1:17" x14ac:dyDescent="0.3">
      <c r="A3" s="3" t="s">
        <v>75</v>
      </c>
    </row>
    <row r="4" spans="1:17" x14ac:dyDescent="0.3">
      <c r="A4" s="3" t="s">
        <v>922</v>
      </c>
    </row>
    <row r="5" spans="1:17" x14ac:dyDescent="0.3">
      <c r="A5" s="3" t="s">
        <v>926</v>
      </c>
      <c r="K5" s="262"/>
    </row>
    <row r="6" spans="1:17" x14ac:dyDescent="0.3">
      <c r="A6" s="3" t="s">
        <v>1923</v>
      </c>
      <c r="C6" s="226"/>
      <c r="D6" s="226"/>
      <c r="E6" s="226"/>
      <c r="F6" s="226"/>
      <c r="G6" s="226"/>
      <c r="H6" s="226"/>
      <c r="I6" s="226"/>
      <c r="J6" s="226"/>
      <c r="K6" s="263"/>
      <c r="L6" s="226"/>
      <c r="M6" s="226"/>
      <c r="N6" s="226"/>
      <c r="O6" s="226"/>
      <c r="P6" s="226"/>
      <c r="Q6" s="226"/>
    </row>
    <row r="7" spans="1:17" x14ac:dyDescent="0.3">
      <c r="A7" s="3"/>
      <c r="C7" s="226" t="s">
        <v>927</v>
      </c>
      <c r="D7" s="226" t="s">
        <v>928</v>
      </c>
      <c r="E7" s="226" t="s">
        <v>928</v>
      </c>
      <c r="F7" s="226" t="s">
        <v>929</v>
      </c>
      <c r="G7" s="226" t="s">
        <v>929</v>
      </c>
      <c r="H7" s="226" t="s">
        <v>930</v>
      </c>
      <c r="I7" s="226" t="s">
        <v>930</v>
      </c>
      <c r="J7" s="226" t="s">
        <v>340</v>
      </c>
      <c r="K7" s="226" t="s">
        <v>341</v>
      </c>
      <c r="L7" s="226" t="s">
        <v>931</v>
      </c>
      <c r="M7" s="226" t="s">
        <v>932</v>
      </c>
      <c r="N7" s="226" t="s">
        <v>933</v>
      </c>
      <c r="O7" s="226" t="s">
        <v>935</v>
      </c>
      <c r="P7" s="226" t="s">
        <v>938</v>
      </c>
      <c r="Q7" s="226" t="s">
        <v>934</v>
      </c>
    </row>
    <row r="8" spans="1:17" x14ac:dyDescent="0.3">
      <c r="A8" s="74"/>
      <c r="B8" s="75"/>
      <c r="C8" s="4"/>
      <c r="D8" s="5"/>
      <c r="E8" s="5"/>
      <c r="F8" s="5"/>
      <c r="G8" s="6"/>
      <c r="H8" s="4"/>
      <c r="I8" s="5"/>
      <c r="J8" s="5"/>
      <c r="K8" s="5"/>
      <c r="L8" s="5"/>
      <c r="M8" s="1143"/>
      <c r="N8" s="1140"/>
      <c r="O8" s="6"/>
      <c r="P8" s="5"/>
      <c r="Q8" s="6"/>
    </row>
    <row r="9" spans="1:17" x14ac:dyDescent="0.3">
      <c r="A9" s="76"/>
      <c r="B9" s="77"/>
      <c r="C9" s="21"/>
      <c r="D9" s="45"/>
      <c r="E9" s="59"/>
      <c r="F9" s="99"/>
      <c r="G9" s="100" t="s">
        <v>937</v>
      </c>
      <c r="H9" s="101"/>
      <c r="I9" s="660" t="s">
        <v>12</v>
      </c>
      <c r="J9" s="101"/>
      <c r="K9" s="660" t="s">
        <v>12</v>
      </c>
      <c r="L9" s="101"/>
      <c r="M9" s="1117" t="s">
        <v>12</v>
      </c>
      <c r="N9" s="1157">
        <v>2027</v>
      </c>
      <c r="O9" s="72" t="s">
        <v>12</v>
      </c>
      <c r="P9" s="101">
        <v>2028</v>
      </c>
      <c r="Q9" s="72" t="s">
        <v>12</v>
      </c>
    </row>
    <row r="10" spans="1:17" x14ac:dyDescent="0.3">
      <c r="A10" s="76"/>
      <c r="B10" s="78"/>
      <c r="C10" s="22" t="s">
        <v>936</v>
      </c>
      <c r="D10" s="46"/>
      <c r="E10" s="60" t="s">
        <v>11</v>
      </c>
      <c r="F10" s="47" t="s">
        <v>28</v>
      </c>
      <c r="G10" s="7" t="s">
        <v>12</v>
      </c>
      <c r="H10" s="401">
        <v>2024</v>
      </c>
      <c r="I10" s="60" t="s">
        <v>31</v>
      </c>
      <c r="J10" s="401">
        <v>2025</v>
      </c>
      <c r="K10" s="60" t="s">
        <v>31</v>
      </c>
      <c r="L10" s="401">
        <v>2026</v>
      </c>
      <c r="M10" s="1118" t="s">
        <v>31</v>
      </c>
      <c r="N10" s="1115" t="s">
        <v>39</v>
      </c>
      <c r="O10" s="60" t="s">
        <v>31</v>
      </c>
      <c r="P10" s="401" t="s">
        <v>39</v>
      </c>
      <c r="Q10" s="60" t="s">
        <v>31</v>
      </c>
    </row>
    <row r="11" spans="1:17" x14ac:dyDescent="0.3">
      <c r="A11" s="76"/>
      <c r="B11" s="78"/>
      <c r="C11" s="22" t="s">
        <v>5</v>
      </c>
      <c r="D11" s="47" t="s">
        <v>9</v>
      </c>
      <c r="E11" s="60" t="s">
        <v>13</v>
      </c>
      <c r="F11" s="47" t="s">
        <v>14</v>
      </c>
      <c r="G11" s="7" t="s">
        <v>13</v>
      </c>
      <c r="H11" s="401" t="s">
        <v>36</v>
      </c>
      <c r="I11" s="60" t="s">
        <v>32</v>
      </c>
      <c r="J11" s="401" t="s">
        <v>33</v>
      </c>
      <c r="K11" s="60" t="s">
        <v>40</v>
      </c>
      <c r="L11" s="401" t="s">
        <v>37</v>
      </c>
      <c r="M11" s="1118" t="s">
        <v>40</v>
      </c>
      <c r="N11" s="1115" t="s">
        <v>35</v>
      </c>
      <c r="O11" s="60" t="s">
        <v>40</v>
      </c>
      <c r="P11" s="401" t="s">
        <v>35</v>
      </c>
      <c r="Q11" s="60" t="s">
        <v>40</v>
      </c>
    </row>
    <row r="12" spans="1:17" x14ac:dyDescent="0.3">
      <c r="A12" s="79" t="s">
        <v>7</v>
      </c>
      <c r="B12" s="80" t="s">
        <v>8</v>
      </c>
      <c r="C12" s="23" t="s">
        <v>6</v>
      </c>
      <c r="D12" s="48" t="s">
        <v>10</v>
      </c>
      <c r="E12" s="61" t="s">
        <v>15</v>
      </c>
      <c r="F12" s="48" t="s">
        <v>10</v>
      </c>
      <c r="G12" s="8" t="s">
        <v>15</v>
      </c>
      <c r="H12" s="402" t="s">
        <v>10</v>
      </c>
      <c r="I12" s="61" t="s">
        <v>33</v>
      </c>
      <c r="J12" s="402" t="s">
        <v>10</v>
      </c>
      <c r="K12" s="61" t="s">
        <v>33</v>
      </c>
      <c r="L12" s="402" t="s">
        <v>10</v>
      </c>
      <c r="M12" s="1119" t="s">
        <v>37</v>
      </c>
      <c r="N12" s="1116" t="s">
        <v>10</v>
      </c>
      <c r="O12" s="61" t="s">
        <v>39</v>
      </c>
      <c r="P12" s="402" t="s">
        <v>10</v>
      </c>
      <c r="Q12" s="61" t="s">
        <v>39</v>
      </c>
    </row>
    <row r="13" spans="1:17" x14ac:dyDescent="0.3">
      <c r="A13" s="81"/>
      <c r="B13" s="82"/>
      <c r="C13" s="24" t="str">
        <f>VLOOKUP(COLUMN(C1),'Named Ranges E'!$A$17:$B$569,2,FALSE)</f>
        <v>c</v>
      </c>
      <c r="D13" s="49" t="str">
        <f>VLOOKUP(COLUMN(D1),'Named Ranges E'!$A$17:$B$569,2,FALSE)</f>
        <v>d</v>
      </c>
      <c r="E13" s="62" t="str">
        <f>CONCATENATE(VLOOKUP(COLUMN(E1),'Named Ranges E'!$A$17:$B$569,2,FALSE)," = ",C13," + ",D13)</f>
        <v>e = c + d</v>
      </c>
      <c r="F13" s="49" t="str">
        <f>VLOOKUP(COLUMN(F1),'Named Ranges E'!$A$17:$B$569,2,FALSE)</f>
        <v>f</v>
      </c>
      <c r="G13" s="9" t="str">
        <f>CONCATENATE(VLOOKUP(COLUMN(G1),'Named Ranges E'!$A$17:$B$569,2,FALSE)," = ",VLOOKUP(COLUMN(E1),'Named Ranges E'!$A$17:$B$569,2,FALSE)," + ",F13)</f>
        <v>g = e + f</v>
      </c>
      <c r="H13" s="34" t="str">
        <f>VLOOKUP(COLUMN(H1),'Named Ranges E'!$A$17:$B$569,2,FALSE)</f>
        <v>h</v>
      </c>
      <c r="I13" s="62" t="str">
        <f>CONCATENATE(VLOOKUP(COLUMN(I1),'Named Ranges E'!$A$17:$B$569,2,FALSE)," = ",VLOOKUP(COLUMN(G1),'Named Ranges E'!$A$17:$B$569,2,FALSE)," + ",H13)</f>
        <v>i = g + h</v>
      </c>
      <c r="J13" s="34" t="str">
        <f>VLOOKUP(COLUMN(J1),'Named Ranges E'!$A$17:$B$569,2,FALSE)</f>
        <v>j</v>
      </c>
      <c r="K13" s="62" t="str">
        <f>CONCATENATE(VLOOKUP(COLUMN(K1),'Named Ranges E'!$A$17:$B$569,2,FALSE)," = ",VLOOKUP(COLUMN(I1),'Named Ranges E'!$A$17:$B$569,2,FALSE)," + ",J13)</f>
        <v>k = i + j</v>
      </c>
      <c r="L13" s="34" t="s">
        <v>47</v>
      </c>
      <c r="M13" s="1173" t="s">
        <v>839</v>
      </c>
      <c r="N13" s="1158" t="str">
        <f>VLOOKUP(COLUMN(N1),'Named Ranges E'!$A$17:$B$569,2,FALSE)</f>
        <v>n</v>
      </c>
      <c r="O13" s="62" t="str">
        <f>CONCATENATE(VLOOKUP(COLUMN(O1),'Named Ranges E'!$A$17:$B$569,2,FALSE)," = ",VLOOKUP(COLUMN(K1),'Named Ranges E'!$A$17:$B$569,2,FALSE)," + ",N13)</f>
        <v>o = k + n</v>
      </c>
      <c r="P13" s="34" t="str">
        <f>VLOOKUP(COLUMN(L1),'Named Ranges E'!$A$17:$B$569,2,FALSE)</f>
        <v>l</v>
      </c>
      <c r="Q13" s="62" t="e">
        <f>CONCATENATE(VLOOKUP(COLUMN(M1),'Named Ranges E'!$A$17:$B$569,2,FALSE)," = ",VLOOKUP(COLUMN(#REF!),'Named Ranges E'!$A$17:$B$569,2,FALSE)," + ",P13)</f>
        <v>#REF!</v>
      </c>
    </row>
    <row r="14" spans="1:17" x14ac:dyDescent="0.3">
      <c r="A14" s="83">
        <f>ROW()</f>
        <v>14</v>
      </c>
      <c r="B14" s="77" t="s">
        <v>0</v>
      </c>
      <c r="C14" s="25"/>
      <c r="D14" s="50"/>
      <c r="E14" s="63"/>
      <c r="F14" s="50"/>
      <c r="G14" s="10"/>
      <c r="H14" s="35"/>
      <c r="I14" s="63"/>
      <c r="J14" s="35"/>
      <c r="K14" s="63"/>
      <c r="L14" s="35"/>
      <c r="M14" s="313"/>
      <c r="N14" s="1147"/>
      <c r="O14" s="63"/>
      <c r="P14" s="35"/>
      <c r="Q14" s="63"/>
    </row>
    <row r="15" spans="1:17" x14ac:dyDescent="0.3">
      <c r="A15" s="83">
        <f>ROW()</f>
        <v>15</v>
      </c>
      <c r="B15" s="77" t="s">
        <v>48</v>
      </c>
      <c r="C15" s="26">
        <f>'Detailed Summary'!D16</f>
        <v>1320264855.1100001</v>
      </c>
      <c r="D15" s="92">
        <f>'Detailed Summary'!BB16</f>
        <v>-685099215.23724234</v>
      </c>
      <c r="E15" s="93">
        <f>SUM(C15:D15)</f>
        <v>635165639.87275779</v>
      </c>
      <c r="F15" s="92">
        <f>'Detailed Summary'!BB77</f>
        <v>-80989743.146737456</v>
      </c>
      <c r="G15" s="94">
        <f>SUM(E15:F15)</f>
        <v>554175896.72602034</v>
      </c>
      <c r="H15" s="102">
        <f>'Detailed Summary'!BB138</f>
        <v>202019</v>
      </c>
      <c r="I15" s="93">
        <f>SUM(G15:H15)</f>
        <v>554377915.72602034</v>
      </c>
      <c r="J15" s="102">
        <f>+'Detailed Summary'!BB199</f>
        <v>-3604266</v>
      </c>
      <c r="K15" s="93">
        <f>SUM(I15:J15)</f>
        <v>550773649.72602034</v>
      </c>
      <c r="L15" s="102">
        <f>+'Detailed Summary'!BB260</f>
        <v>-486743</v>
      </c>
      <c r="M15" s="1174">
        <f>SUM(K15:L15)</f>
        <v>550286906.72602034</v>
      </c>
      <c r="N15" s="1159">
        <f>+'Detailed Summary'!BB321</f>
        <v>0</v>
      </c>
      <c r="O15" s="93"/>
      <c r="P15" s="102">
        <f>+'Detailed Summary'!BB382</f>
        <v>0</v>
      </c>
      <c r="Q15" s="93">
        <f>SUM(O15:P15)</f>
        <v>0</v>
      </c>
    </row>
    <row r="16" spans="1:17" x14ac:dyDescent="0.3">
      <c r="A16" s="83">
        <f>ROW()</f>
        <v>16</v>
      </c>
      <c r="B16" s="77" t="s">
        <v>49</v>
      </c>
      <c r="C16" s="27">
        <f>'Detailed Summary'!D17</f>
        <v>0</v>
      </c>
      <c r="D16" s="56">
        <f>'Detailed Summary'!BB17</f>
        <v>0</v>
      </c>
      <c r="E16" s="69">
        <f>SUM(C16:D16)</f>
        <v>0</v>
      </c>
      <c r="F16" s="56">
        <f>'Detailed Summary'!BB78</f>
        <v>0</v>
      </c>
      <c r="G16" s="17">
        <f>SUM(E16:F16)</f>
        <v>0</v>
      </c>
      <c r="H16" s="42">
        <f>'Detailed Summary'!BB139</f>
        <v>0</v>
      </c>
      <c r="I16" s="69">
        <f t="shared" ref="I16:Q18" si="0">SUM(G16:H16)</f>
        <v>0</v>
      </c>
      <c r="J16" s="42">
        <f>+'Detailed Summary'!BB200</f>
        <v>0</v>
      </c>
      <c r="K16" s="69">
        <f t="shared" si="0"/>
        <v>0</v>
      </c>
      <c r="L16" s="42">
        <f>+'Detailed Summary'!BB261</f>
        <v>0</v>
      </c>
      <c r="M16" s="312">
        <f t="shared" si="0"/>
        <v>0</v>
      </c>
      <c r="N16" s="1160"/>
      <c r="O16" s="69"/>
      <c r="P16" s="42"/>
      <c r="Q16" s="69">
        <f t="shared" si="0"/>
        <v>0</v>
      </c>
    </row>
    <row r="17" spans="1:20" x14ac:dyDescent="0.3">
      <c r="A17" s="83">
        <f>ROW()</f>
        <v>17</v>
      </c>
      <c r="B17" s="77" t="s">
        <v>50</v>
      </c>
      <c r="C17" s="27">
        <f>'Detailed Summary'!D18</f>
        <v>0</v>
      </c>
      <c r="D17" s="56">
        <f>'Detailed Summary'!BB18</f>
        <v>0</v>
      </c>
      <c r="E17" s="69">
        <f>SUM(C17:D17)</f>
        <v>0</v>
      </c>
      <c r="F17" s="56">
        <f>'Detailed Summary'!BB79</f>
        <v>0</v>
      </c>
      <c r="G17" s="17">
        <f>SUM(E17:F17)</f>
        <v>0</v>
      </c>
      <c r="H17" s="42">
        <f>'Detailed Summary'!BB140</f>
        <v>0</v>
      </c>
      <c r="I17" s="69">
        <f t="shared" si="0"/>
        <v>0</v>
      </c>
      <c r="J17" s="42">
        <f>+'Detailed Summary'!BB201</f>
        <v>0</v>
      </c>
      <c r="K17" s="69">
        <f t="shared" si="0"/>
        <v>0</v>
      </c>
      <c r="L17" s="42">
        <f>+'Detailed Summary'!BB262</f>
        <v>0</v>
      </c>
      <c r="M17" s="312">
        <f t="shared" si="0"/>
        <v>0</v>
      </c>
      <c r="N17" s="1160"/>
      <c r="O17" s="69"/>
      <c r="P17" s="42"/>
      <c r="Q17" s="69">
        <f t="shared" si="0"/>
        <v>0</v>
      </c>
    </row>
    <row r="18" spans="1:20" x14ac:dyDescent="0.3">
      <c r="A18" s="83">
        <f>ROW()</f>
        <v>18</v>
      </c>
      <c r="B18" s="77" t="s">
        <v>51</v>
      </c>
      <c r="C18" s="27">
        <f>'Detailed Summary'!D19</f>
        <v>14367467.789999999</v>
      </c>
      <c r="D18" s="56">
        <f>'Detailed Summary'!BB19</f>
        <v>7325702.21</v>
      </c>
      <c r="E18" s="69">
        <f>SUM(C18:D18)</f>
        <v>21693170</v>
      </c>
      <c r="F18" s="56">
        <f>'Detailed Summary'!BB80</f>
        <v>-22254837.03829759</v>
      </c>
      <c r="G18" s="17">
        <f>SUM(E18:F18)</f>
        <v>-561667.03829758987</v>
      </c>
      <c r="H18" s="42">
        <f>'Detailed Summary'!BB141</f>
        <v>-43122.744148794794</v>
      </c>
      <c r="I18" s="69">
        <f t="shared" si="0"/>
        <v>-604789.78244638466</v>
      </c>
      <c r="J18" s="42">
        <f>+'Detailed Summary'!BB202</f>
        <v>0</v>
      </c>
      <c r="K18" s="69">
        <f t="shared" si="0"/>
        <v>-604789.78244638466</v>
      </c>
      <c r="L18" s="42">
        <f>+'Detailed Summary'!BB263</f>
        <v>2630462.4217455317</v>
      </c>
      <c r="M18" s="312">
        <f t="shared" si="0"/>
        <v>2025672.6392991471</v>
      </c>
      <c r="N18" s="1160"/>
      <c r="O18" s="69"/>
      <c r="P18" s="42"/>
      <c r="Q18" s="69">
        <f t="shared" si="0"/>
        <v>0</v>
      </c>
    </row>
    <row r="19" spans="1:20" x14ac:dyDescent="0.3">
      <c r="A19" s="83">
        <f>ROW()</f>
        <v>19</v>
      </c>
      <c r="B19" s="84" t="s">
        <v>58</v>
      </c>
      <c r="C19" s="87">
        <f t="shared" ref="C19:P19" si="1">SUM(C15:C18)</f>
        <v>1334632322.9000001</v>
      </c>
      <c r="D19" s="88">
        <f t="shared" si="1"/>
        <v>-677773513.0272423</v>
      </c>
      <c r="E19" s="89">
        <f t="shared" si="1"/>
        <v>656858809.87275779</v>
      </c>
      <c r="F19" s="88">
        <f t="shared" si="1"/>
        <v>-103244580.18503505</v>
      </c>
      <c r="G19" s="90">
        <f t="shared" si="1"/>
        <v>553614229.6877228</v>
      </c>
      <c r="H19" s="91">
        <f t="shared" si="1"/>
        <v>158896.25585120521</v>
      </c>
      <c r="I19" s="89">
        <f t="shared" si="1"/>
        <v>553773125.94357395</v>
      </c>
      <c r="J19" s="91">
        <f t="shared" si="1"/>
        <v>-3604266</v>
      </c>
      <c r="K19" s="89">
        <f t="shared" si="1"/>
        <v>550168859.94357395</v>
      </c>
      <c r="L19" s="91">
        <f t="shared" si="1"/>
        <v>2143719.4217455317</v>
      </c>
      <c r="M19" s="1175">
        <f t="shared" si="1"/>
        <v>552312579.36531949</v>
      </c>
      <c r="N19" s="1161">
        <f t="shared" si="1"/>
        <v>0</v>
      </c>
      <c r="O19" s="89">
        <f>SUM(O15:O18)</f>
        <v>0</v>
      </c>
      <c r="P19" s="91">
        <f t="shared" si="1"/>
        <v>0</v>
      </c>
      <c r="Q19" s="89">
        <f>SUM(Q15:Q18)</f>
        <v>0</v>
      </c>
    </row>
    <row r="20" spans="1:20" x14ac:dyDescent="0.3">
      <c r="A20" s="83">
        <f>ROW()</f>
        <v>20</v>
      </c>
      <c r="B20" s="84"/>
      <c r="C20" s="25"/>
      <c r="D20" s="50"/>
      <c r="E20" s="63"/>
      <c r="F20" s="50"/>
      <c r="G20" s="10"/>
      <c r="H20" s="35"/>
      <c r="I20" s="63"/>
      <c r="J20" s="35"/>
      <c r="K20" s="63"/>
      <c r="L20" s="35"/>
      <c r="M20" s="313"/>
      <c r="N20" s="1147"/>
      <c r="O20" s="63"/>
      <c r="P20" s="35"/>
      <c r="Q20" s="63"/>
    </row>
    <row r="21" spans="1:20" x14ac:dyDescent="0.3">
      <c r="A21" s="83">
        <f>ROW()</f>
        <v>21</v>
      </c>
      <c r="B21" s="84" t="s">
        <v>52</v>
      </c>
      <c r="C21" s="25"/>
      <c r="D21" s="50"/>
      <c r="E21" s="63"/>
      <c r="F21" s="50"/>
      <c r="G21" s="10"/>
      <c r="H21" s="35"/>
      <c r="I21" s="63"/>
      <c r="J21" s="35"/>
      <c r="K21" s="63"/>
      <c r="L21" s="35"/>
      <c r="M21" s="313"/>
      <c r="N21" s="1147"/>
      <c r="O21" s="63"/>
      <c r="P21" s="35"/>
      <c r="Q21" s="63"/>
    </row>
    <row r="22" spans="1:20" x14ac:dyDescent="0.3">
      <c r="A22" s="83">
        <f>ROW()</f>
        <v>22</v>
      </c>
      <c r="B22" s="84"/>
      <c r="C22" s="25"/>
      <c r="D22" s="50"/>
      <c r="E22" s="63"/>
      <c r="F22" s="50"/>
      <c r="G22" s="10"/>
      <c r="H22" s="35"/>
      <c r="I22" s="63"/>
      <c r="J22" s="35"/>
      <c r="K22" s="63"/>
      <c r="L22" s="35"/>
      <c r="M22" s="313"/>
      <c r="N22" s="1147"/>
      <c r="O22" s="63"/>
      <c r="P22" s="35"/>
      <c r="Q22" s="63"/>
    </row>
    <row r="23" spans="1:20" x14ac:dyDescent="0.3">
      <c r="A23" s="83">
        <f>ROW()</f>
        <v>23</v>
      </c>
      <c r="B23" s="84" t="s">
        <v>53</v>
      </c>
      <c r="C23" s="25"/>
      <c r="D23" s="50"/>
      <c r="E23" s="63"/>
      <c r="F23" s="50"/>
      <c r="G23" s="10"/>
      <c r="H23" s="35"/>
      <c r="I23" s="63"/>
      <c r="J23" s="35"/>
      <c r="K23" s="63"/>
      <c r="L23" s="35"/>
      <c r="M23" s="313"/>
      <c r="N23" s="1147"/>
      <c r="O23" s="63"/>
      <c r="P23" s="35"/>
      <c r="Q23" s="63"/>
    </row>
    <row r="24" spans="1:20" x14ac:dyDescent="0.3">
      <c r="A24" s="83">
        <f>ROW()</f>
        <v>24</v>
      </c>
      <c r="B24" s="84" t="s">
        <v>54</v>
      </c>
      <c r="C24" s="27">
        <f>'Detailed Summary'!D25</f>
        <v>0</v>
      </c>
      <c r="D24" s="56">
        <f>'Detailed Summary'!BB25</f>
        <v>0</v>
      </c>
      <c r="E24" s="69">
        <f>SUM(C24:D24)</f>
        <v>0</v>
      </c>
      <c r="F24" s="56">
        <f>'Detailed Summary'!BB86</f>
        <v>0</v>
      </c>
      <c r="G24" s="17">
        <f>SUM(E24:F24)</f>
        <v>0</v>
      </c>
      <c r="H24" s="42">
        <f>'Detailed Summary'!BB147</f>
        <v>0</v>
      </c>
      <c r="I24" s="69">
        <f>SUM(G24:H24)</f>
        <v>0</v>
      </c>
      <c r="J24" s="42">
        <f>+'Detailed Summary'!BB208</f>
        <v>0</v>
      </c>
      <c r="K24" s="69">
        <f>SUM(I24:J24)</f>
        <v>0</v>
      </c>
      <c r="L24" s="42">
        <f>+'Detailed Summary'!BB269</f>
        <v>0</v>
      </c>
      <c r="M24" s="312">
        <f>SUM(K24:L24)</f>
        <v>0</v>
      </c>
      <c r="N24" s="1160">
        <f>+'Detailed Summary'!BB330</f>
        <v>0</v>
      </c>
      <c r="O24" s="69"/>
      <c r="P24" s="42">
        <f>+'Detailed Summary'!BB391</f>
        <v>0</v>
      </c>
      <c r="Q24" s="69">
        <f>SUM(O24:P24)</f>
        <v>0</v>
      </c>
    </row>
    <row r="25" spans="1:20" x14ac:dyDescent="0.3">
      <c r="A25" s="83">
        <f>ROW()</f>
        <v>25</v>
      </c>
      <c r="B25" s="84" t="s">
        <v>55</v>
      </c>
      <c r="C25" s="27">
        <f>'Detailed Summary'!D26</f>
        <v>710474541.38000011</v>
      </c>
      <c r="D25" s="56">
        <f>'Detailed Summary'!BB26</f>
        <v>-710474541.38</v>
      </c>
      <c r="E25" s="69">
        <f>SUM(C25:D25)</f>
        <v>0</v>
      </c>
      <c r="F25" s="56">
        <f>'Detailed Summary'!BB87</f>
        <v>0</v>
      </c>
      <c r="G25" s="17">
        <f>SUM(E25:F25)</f>
        <v>0</v>
      </c>
      <c r="H25" s="42">
        <f>'Detailed Summary'!BB148</f>
        <v>0</v>
      </c>
      <c r="I25" s="69">
        <f t="shared" ref="I25:Q27" si="2">SUM(G25:H25)</f>
        <v>0</v>
      </c>
      <c r="J25" s="42">
        <f>+'Detailed Summary'!BB209</f>
        <v>0</v>
      </c>
      <c r="K25" s="69">
        <f t="shared" si="2"/>
        <v>0</v>
      </c>
      <c r="L25" s="42">
        <f>+'Detailed Summary'!BB270</f>
        <v>0</v>
      </c>
      <c r="M25" s="312">
        <f t="shared" si="2"/>
        <v>0</v>
      </c>
      <c r="N25" s="1160">
        <f>+'Detailed Summary'!BB331</f>
        <v>0</v>
      </c>
      <c r="O25" s="69"/>
      <c r="P25" s="42">
        <f>+'Detailed Summary'!BB392</f>
        <v>0</v>
      </c>
      <c r="Q25" s="69">
        <f t="shared" si="2"/>
        <v>0</v>
      </c>
    </row>
    <row r="26" spans="1:20" x14ac:dyDescent="0.3">
      <c r="A26" s="83">
        <f>ROW()</f>
        <v>26</v>
      </c>
      <c r="B26" s="84" t="s">
        <v>56</v>
      </c>
      <c r="C26" s="27">
        <f>'Detailed Summary'!D27</f>
        <v>0</v>
      </c>
      <c r="D26" s="56">
        <f>'Detailed Summary'!BB27</f>
        <v>0</v>
      </c>
      <c r="E26" s="69">
        <f>SUM(C26:D26)</f>
        <v>0</v>
      </c>
      <c r="F26" s="56">
        <f>'Detailed Summary'!BB88</f>
        <v>0</v>
      </c>
      <c r="G26" s="17">
        <f>SUM(E26:F26)</f>
        <v>0</v>
      </c>
      <c r="H26" s="42">
        <f>'Detailed Summary'!BB149</f>
        <v>0</v>
      </c>
      <c r="I26" s="69">
        <f t="shared" si="2"/>
        <v>0</v>
      </c>
      <c r="J26" s="42">
        <f>+'Detailed Summary'!BB210</f>
        <v>0</v>
      </c>
      <c r="K26" s="69">
        <f t="shared" si="2"/>
        <v>0</v>
      </c>
      <c r="L26" s="42">
        <f>+'Detailed Summary'!BB271</f>
        <v>0</v>
      </c>
      <c r="M26" s="312">
        <f t="shared" si="2"/>
        <v>0</v>
      </c>
      <c r="N26" s="1160">
        <f>+'Detailed Summary'!BB332</f>
        <v>0</v>
      </c>
      <c r="O26" s="69"/>
      <c r="P26" s="42">
        <f>+'Detailed Summary'!BB393</f>
        <v>0</v>
      </c>
      <c r="Q26" s="69">
        <f t="shared" si="2"/>
        <v>0</v>
      </c>
    </row>
    <row r="27" spans="1:20" x14ac:dyDescent="0.3">
      <c r="A27" s="83">
        <f>ROW()</f>
        <v>27</v>
      </c>
      <c r="B27" s="84" t="s">
        <v>57</v>
      </c>
      <c r="C27" s="27">
        <f>'Detailed Summary'!D28</f>
        <v>0</v>
      </c>
      <c r="D27" s="56">
        <f>'Detailed Summary'!BB28</f>
        <v>0</v>
      </c>
      <c r="E27" s="69">
        <f>SUM(C27:D27)</f>
        <v>0</v>
      </c>
      <c r="F27" s="56">
        <f>'Detailed Summary'!BB89</f>
        <v>0</v>
      </c>
      <c r="G27" s="17">
        <f>SUM(E27:F27)</f>
        <v>0</v>
      </c>
      <c r="H27" s="42">
        <f>'Detailed Summary'!BB150</f>
        <v>0</v>
      </c>
      <c r="I27" s="69">
        <f t="shared" si="2"/>
        <v>0</v>
      </c>
      <c r="J27" s="42">
        <f>+'Detailed Summary'!BB211</f>
        <v>0</v>
      </c>
      <c r="K27" s="69">
        <f t="shared" si="2"/>
        <v>0</v>
      </c>
      <c r="L27" s="42">
        <f>+'Detailed Summary'!BB272</f>
        <v>0</v>
      </c>
      <c r="M27" s="312">
        <f t="shared" si="2"/>
        <v>0</v>
      </c>
      <c r="N27" s="1160">
        <f>+'Detailed Summary'!BB333</f>
        <v>0</v>
      </c>
      <c r="O27" s="69">
        <f t="shared" si="2"/>
        <v>0</v>
      </c>
      <c r="P27" s="42">
        <f>+'Detailed Summary'!BB394</f>
        <v>0</v>
      </c>
      <c r="Q27" s="69">
        <f t="shared" si="2"/>
        <v>0</v>
      </c>
    </row>
    <row r="28" spans="1:20" x14ac:dyDescent="0.3">
      <c r="A28" s="83">
        <f>ROW()</f>
        <v>28</v>
      </c>
      <c r="B28" s="84" t="s">
        <v>1</v>
      </c>
      <c r="C28" s="95">
        <f t="shared" ref="C28:P28" si="3">SUM(C24:C27)</f>
        <v>710474541.38000011</v>
      </c>
      <c r="D28" s="96">
        <f t="shared" si="3"/>
        <v>-710474541.38</v>
      </c>
      <c r="E28" s="97">
        <f t="shared" si="3"/>
        <v>0</v>
      </c>
      <c r="F28" s="96">
        <f t="shared" si="3"/>
        <v>0</v>
      </c>
      <c r="G28" s="98">
        <f t="shared" si="3"/>
        <v>0</v>
      </c>
      <c r="H28" s="106">
        <f t="shared" si="3"/>
        <v>0</v>
      </c>
      <c r="I28" s="107">
        <f t="shared" si="3"/>
        <v>0</v>
      </c>
      <c r="J28" s="106">
        <f t="shared" si="3"/>
        <v>0</v>
      </c>
      <c r="K28" s="107">
        <f t="shared" si="3"/>
        <v>0</v>
      </c>
      <c r="L28" s="106">
        <f t="shared" si="3"/>
        <v>0</v>
      </c>
      <c r="M28" s="1176">
        <f t="shared" si="3"/>
        <v>0</v>
      </c>
      <c r="N28" s="1162">
        <f t="shared" si="3"/>
        <v>0</v>
      </c>
      <c r="O28" s="107">
        <f>SUM(O24:O27)</f>
        <v>0</v>
      </c>
      <c r="P28" s="106">
        <f t="shared" si="3"/>
        <v>0</v>
      </c>
      <c r="Q28" s="107">
        <f>SUM(Q24:Q27)</f>
        <v>0</v>
      </c>
    </row>
    <row r="29" spans="1:20" x14ac:dyDescent="0.3">
      <c r="A29" s="83">
        <f>ROW()</f>
        <v>29</v>
      </c>
      <c r="B29" s="84"/>
      <c r="C29" s="27"/>
      <c r="D29" s="51"/>
      <c r="E29" s="65"/>
      <c r="F29" s="51"/>
      <c r="G29" s="12"/>
      <c r="H29" s="103"/>
      <c r="I29" s="104"/>
      <c r="J29" s="103"/>
      <c r="K29" s="104"/>
      <c r="L29" s="103"/>
      <c r="M29" s="1177"/>
      <c r="N29" s="1163"/>
      <c r="O29" s="104"/>
      <c r="P29" s="103"/>
      <c r="Q29" s="104"/>
    </row>
    <row r="30" spans="1:20" x14ac:dyDescent="0.3">
      <c r="A30" s="83">
        <f>ROW()</f>
        <v>30</v>
      </c>
      <c r="B30" s="84" t="s">
        <v>59</v>
      </c>
      <c r="C30" s="27">
        <f>'Detailed Summary'!D31</f>
        <v>7668314.0300000003</v>
      </c>
      <c r="D30" s="51">
        <f>'Detailed Summary'!BB31</f>
        <v>183050.38971960088</v>
      </c>
      <c r="E30" s="65">
        <f>SUM(C30:D30)</f>
        <v>7851364.4197196011</v>
      </c>
      <c r="F30" s="51">
        <f>'Detailed Summary'!BB92</f>
        <v>17167.652464941577</v>
      </c>
      <c r="G30" s="12">
        <f>SUM(E30:F30)</f>
        <v>7868532.0721845422</v>
      </c>
      <c r="H30" s="103">
        <f>'Detailed Summary'!BB153</f>
        <v>7528.1196549577071</v>
      </c>
      <c r="I30" s="104">
        <f>SUM(G30:H30)</f>
        <v>7876060.1918395003</v>
      </c>
      <c r="J30" s="103">
        <f>+'Detailed Summary'!BB214</f>
        <v>360750.28219837951</v>
      </c>
      <c r="K30" s="104">
        <f>SUM(I30:J30)</f>
        <v>8236810.4740378801</v>
      </c>
      <c r="L30" s="103">
        <f>+'Detailed Summary'!BB275</f>
        <v>721098.30593409913</v>
      </c>
      <c r="M30" s="1177">
        <f>SUM(K30:L30)</f>
        <v>8957908.7799719796</v>
      </c>
      <c r="N30" s="1163">
        <f>+'Detailed Summary'!BB336</f>
        <v>0</v>
      </c>
      <c r="O30" s="104"/>
      <c r="P30" s="103"/>
      <c r="Q30" s="104">
        <f>SUM(O30:P30)</f>
        <v>0</v>
      </c>
      <c r="T30" s="134">
        <f>+S30-M30</f>
        <v>-8957908.7799719796</v>
      </c>
    </row>
    <row r="31" spans="1:20" x14ac:dyDescent="0.3">
      <c r="A31" s="83">
        <f>ROW()</f>
        <v>31</v>
      </c>
      <c r="B31" s="84" t="s">
        <v>60</v>
      </c>
      <c r="C31" s="27">
        <f>'Detailed Summary'!D32</f>
        <v>0</v>
      </c>
      <c r="D31" s="51">
        <f>'Detailed Summary'!BB32</f>
        <v>0</v>
      </c>
      <c r="E31" s="65">
        <f t="shared" ref="E31:E43" si="4">SUM(C31:D31)</f>
        <v>0</v>
      </c>
      <c r="F31" s="51">
        <f>'Detailed Summary'!BB93</f>
        <v>0</v>
      </c>
      <c r="G31" s="12">
        <f t="shared" ref="G31:G43" si="5">SUM(E31:F31)</f>
        <v>0</v>
      </c>
      <c r="H31" s="103">
        <f>'Detailed Summary'!BB154</f>
        <v>0</v>
      </c>
      <c r="I31" s="104">
        <f t="shared" ref="I31:Q43" si="6">SUM(G31:H31)</f>
        <v>0</v>
      </c>
      <c r="J31" s="103">
        <f>+'Detailed Summary'!BB215</f>
        <v>0</v>
      </c>
      <c r="K31" s="104">
        <f t="shared" si="6"/>
        <v>0</v>
      </c>
      <c r="L31" s="103">
        <f>+'Detailed Summary'!BB276</f>
        <v>0</v>
      </c>
      <c r="M31" s="1177">
        <f t="shared" si="6"/>
        <v>0</v>
      </c>
      <c r="N31" s="1163">
        <f>+'Detailed Summary'!BB337</f>
        <v>0</v>
      </c>
      <c r="O31" s="104"/>
      <c r="P31" s="103"/>
      <c r="Q31" s="104">
        <f t="shared" si="6"/>
        <v>0</v>
      </c>
      <c r="T31" s="134">
        <f t="shared" ref="T31:T83" si="7">+S31-M31</f>
        <v>0</v>
      </c>
    </row>
    <row r="32" spans="1:20" x14ac:dyDescent="0.3">
      <c r="A32" s="83">
        <f>ROW()</f>
        <v>32</v>
      </c>
      <c r="B32" s="84" t="s">
        <v>61</v>
      </c>
      <c r="C32" s="27">
        <f>'Detailed Summary'!D33</f>
        <v>64058520.619999997</v>
      </c>
      <c r="D32" s="51">
        <f>'Detailed Summary'!BB33</f>
        <v>285408.30550475046</v>
      </c>
      <c r="E32" s="65">
        <f t="shared" si="4"/>
        <v>64343928.925504744</v>
      </c>
      <c r="F32" s="51">
        <f>'Detailed Summary'!BB94</f>
        <v>102514.21329824883</v>
      </c>
      <c r="G32" s="12">
        <f t="shared" si="5"/>
        <v>64446443.13880299</v>
      </c>
      <c r="H32" s="103">
        <f>'Detailed Summary'!BB155</f>
        <v>44973.15213659755</v>
      </c>
      <c r="I32" s="104">
        <f t="shared" si="6"/>
        <v>64491416.290939584</v>
      </c>
      <c r="J32" s="103">
        <f>+'Detailed Summary'!BB216</f>
        <v>24190622.570912331</v>
      </c>
      <c r="K32" s="104">
        <f t="shared" si="6"/>
        <v>88682038.861851916</v>
      </c>
      <c r="L32" s="103">
        <f>+'Detailed Summary'!BB277</f>
        <v>-1041658.2442166756</v>
      </c>
      <c r="M32" s="1177">
        <f t="shared" si="6"/>
        <v>87640380.617635235</v>
      </c>
      <c r="N32" s="1163">
        <f>+'Detailed Summary'!BB338</f>
        <v>0</v>
      </c>
      <c r="O32" s="104"/>
      <c r="P32" s="103"/>
      <c r="Q32" s="104">
        <f t="shared" si="6"/>
        <v>0</v>
      </c>
      <c r="T32" s="134">
        <f t="shared" si="7"/>
        <v>-87640380.617635235</v>
      </c>
    </row>
    <row r="33" spans="1:20" x14ac:dyDescent="0.3">
      <c r="A33" s="83">
        <f>ROW()</f>
        <v>33</v>
      </c>
      <c r="B33" s="84" t="s">
        <v>62</v>
      </c>
      <c r="C33" s="27">
        <f>'Detailed Summary'!D34</f>
        <v>25951482.239999998</v>
      </c>
      <c r="D33" s="51">
        <f>'Detailed Summary'!BB34</f>
        <v>-2187868.3319696574</v>
      </c>
      <c r="E33" s="65">
        <f t="shared" si="4"/>
        <v>23763613.908030342</v>
      </c>
      <c r="F33" s="51">
        <f>'Detailed Summary'!BB95</f>
        <v>-271692.99036815774</v>
      </c>
      <c r="G33" s="12">
        <f t="shared" si="5"/>
        <v>23491920.917662185</v>
      </c>
      <c r="H33" s="103">
        <f>'Detailed Summary'!BB156</f>
        <v>10635.658872489474</v>
      </c>
      <c r="I33" s="104">
        <f t="shared" si="6"/>
        <v>23502556.576534674</v>
      </c>
      <c r="J33" s="103">
        <f>+'Detailed Summary'!BB217</f>
        <v>-7175358.9291025754</v>
      </c>
      <c r="K33" s="104">
        <f t="shared" si="6"/>
        <v>16327197.647432098</v>
      </c>
      <c r="L33" s="103">
        <f>+'Detailed Summary'!BB278</f>
        <v>-1384813.5627742556</v>
      </c>
      <c r="M33" s="1177">
        <f t="shared" si="6"/>
        <v>14942384.084657842</v>
      </c>
      <c r="N33" s="1163">
        <f>+'Detailed Summary'!BB339</f>
        <v>0</v>
      </c>
      <c r="O33" s="104"/>
      <c r="P33" s="103"/>
      <c r="Q33" s="104">
        <f t="shared" si="6"/>
        <v>0</v>
      </c>
      <c r="T33" s="134">
        <f t="shared" si="7"/>
        <v>-14942384.084657842</v>
      </c>
    </row>
    <row r="34" spans="1:20" x14ac:dyDescent="0.3">
      <c r="A34" s="83">
        <f>ROW()</f>
        <v>34</v>
      </c>
      <c r="B34" s="84" t="s">
        <v>63</v>
      </c>
      <c r="C34" s="27">
        <f>'Detailed Summary'!D35</f>
        <v>4633246.5</v>
      </c>
      <c r="D34" s="51">
        <f>'Detailed Summary'!BB35</f>
        <v>-2237114.8050593566</v>
      </c>
      <c r="E34" s="65">
        <f t="shared" si="4"/>
        <v>2396131.6949406434</v>
      </c>
      <c r="F34" s="51">
        <f>'Detailed Summary'!BB96</f>
        <v>3947.409354984231</v>
      </c>
      <c r="G34" s="12">
        <f t="shared" si="5"/>
        <v>2400079.1042956277</v>
      </c>
      <c r="H34" s="103">
        <f>'Detailed Summary'!BB157</f>
        <v>1733.1554567787998</v>
      </c>
      <c r="I34" s="104">
        <f t="shared" si="6"/>
        <v>2401812.2597524063</v>
      </c>
      <c r="J34" s="103">
        <f>+'Detailed Summary'!BB218</f>
        <v>-526769.73494716221</v>
      </c>
      <c r="K34" s="104">
        <f t="shared" si="6"/>
        <v>1875042.5248052441</v>
      </c>
      <c r="L34" s="103">
        <f>+'Detailed Summary'!BB279</f>
        <v>-61280.800806536296</v>
      </c>
      <c r="M34" s="1177">
        <f t="shared" si="6"/>
        <v>1813761.7239987077</v>
      </c>
      <c r="N34" s="1163">
        <f>+'Detailed Summary'!BB340</f>
        <v>0</v>
      </c>
      <c r="O34" s="104"/>
      <c r="P34" s="103"/>
      <c r="Q34" s="104">
        <f t="shared" si="6"/>
        <v>0</v>
      </c>
      <c r="T34" s="134">
        <f t="shared" si="7"/>
        <v>-1813761.7239987077</v>
      </c>
    </row>
    <row r="35" spans="1:20" x14ac:dyDescent="0.3">
      <c r="A35" s="83">
        <f>ROW()</f>
        <v>35</v>
      </c>
      <c r="B35" s="84" t="s">
        <v>64</v>
      </c>
      <c r="C35" s="27">
        <f>'Detailed Summary'!D36</f>
        <v>22395680.359999999</v>
      </c>
      <c r="D35" s="51">
        <f>'Detailed Summary'!BB36</f>
        <v>-22395680.359999999</v>
      </c>
      <c r="E35" s="65">
        <f t="shared" si="4"/>
        <v>0</v>
      </c>
      <c r="F35" s="51">
        <f>'Detailed Summary'!BB97</f>
        <v>0</v>
      </c>
      <c r="G35" s="12">
        <f t="shared" si="5"/>
        <v>0</v>
      </c>
      <c r="H35" s="103">
        <f>'Detailed Summary'!BB158</f>
        <v>0</v>
      </c>
      <c r="I35" s="104">
        <f t="shared" si="6"/>
        <v>0</v>
      </c>
      <c r="J35" s="103">
        <f>+'Detailed Summary'!BB219</f>
        <v>0</v>
      </c>
      <c r="K35" s="104">
        <f t="shared" si="6"/>
        <v>0</v>
      </c>
      <c r="L35" s="103">
        <f>+'Detailed Summary'!BB280</f>
        <v>0</v>
      </c>
      <c r="M35" s="1177">
        <f t="shared" si="6"/>
        <v>0</v>
      </c>
      <c r="N35" s="1163">
        <f>+'Detailed Summary'!BB341</f>
        <v>0</v>
      </c>
      <c r="O35" s="104"/>
      <c r="P35" s="103"/>
      <c r="Q35" s="104">
        <f t="shared" si="6"/>
        <v>0</v>
      </c>
      <c r="T35" s="134">
        <f t="shared" si="7"/>
        <v>0</v>
      </c>
    </row>
    <row r="36" spans="1:20" x14ac:dyDescent="0.3">
      <c r="A36" s="83">
        <f>ROW()</f>
        <v>36</v>
      </c>
      <c r="B36" s="84" t="s">
        <v>65</v>
      </c>
      <c r="C36" s="27">
        <f>'Detailed Summary'!D37</f>
        <v>73412663.579999998</v>
      </c>
      <c r="D36" s="51">
        <f>'Detailed Summary'!BB37</f>
        <v>625208.63941264804</v>
      </c>
      <c r="E36" s="65">
        <f t="shared" si="4"/>
        <v>74037872.21941264</v>
      </c>
      <c r="F36" s="51">
        <f>'Detailed Summary'!BB98</f>
        <v>-81200.281697028331</v>
      </c>
      <c r="G36" s="12">
        <f t="shared" si="5"/>
        <v>73956671.937715605</v>
      </c>
      <c r="H36" s="103">
        <f>'Detailed Summary'!BB159</f>
        <v>30926.124431473669</v>
      </c>
      <c r="I36" s="104">
        <f t="shared" si="6"/>
        <v>73987598.062147081</v>
      </c>
      <c r="J36" s="103">
        <f>+'Detailed Summary'!BB220</f>
        <v>-10298357.932386963</v>
      </c>
      <c r="K36" s="104">
        <f t="shared" si="6"/>
        <v>63689240.129760116</v>
      </c>
      <c r="L36" s="103">
        <f>+'Detailed Summary'!BB281</f>
        <v>7301576.530992806</v>
      </c>
      <c r="M36" s="1177">
        <f t="shared" si="6"/>
        <v>70990816.660752922</v>
      </c>
      <c r="N36" s="1163">
        <f>+'Detailed Summary'!BB342</f>
        <v>0</v>
      </c>
      <c r="O36" s="104"/>
      <c r="P36" s="103"/>
      <c r="Q36" s="104">
        <f t="shared" si="6"/>
        <v>0</v>
      </c>
      <c r="T36" s="134">
        <f t="shared" si="7"/>
        <v>-70990816.660752922</v>
      </c>
    </row>
    <row r="37" spans="1:20" x14ac:dyDescent="0.3">
      <c r="A37" s="83">
        <f>ROW()</f>
        <v>37</v>
      </c>
      <c r="B37" s="84" t="s">
        <v>66</v>
      </c>
      <c r="C37" s="27">
        <f>'Detailed Summary'!D38</f>
        <v>164838105.41999999</v>
      </c>
      <c r="D37" s="51">
        <f>'Detailed Summary'!BB38</f>
        <v>11992989.533705343</v>
      </c>
      <c r="E37" s="65">
        <f t="shared" si="4"/>
        <v>176831094.95370534</v>
      </c>
      <c r="F37" s="51">
        <f>'Detailed Summary'!BB99</f>
        <v>-8032723.2244086899</v>
      </c>
      <c r="G37" s="12">
        <f t="shared" si="5"/>
        <v>168798371.72929665</v>
      </c>
      <c r="H37" s="103">
        <f>'Detailed Summary'!BB160</f>
        <v>7967622.7431826554</v>
      </c>
      <c r="I37" s="104">
        <f t="shared" si="6"/>
        <v>176765994.47247931</v>
      </c>
      <c r="J37" s="103">
        <f>+'Detailed Summary'!BB221</f>
        <v>84828805.57257545</v>
      </c>
      <c r="K37" s="104">
        <f t="shared" si="6"/>
        <v>261594800.04505476</v>
      </c>
      <c r="L37" s="103">
        <f>+'Detailed Summary'!BB282</f>
        <v>5289431.9065199792</v>
      </c>
      <c r="M37" s="1177">
        <f t="shared" si="6"/>
        <v>266884231.95157474</v>
      </c>
      <c r="N37" s="1163">
        <f>+'Detailed Summary'!BB343</f>
        <v>0</v>
      </c>
      <c r="O37" s="104"/>
      <c r="P37" s="103"/>
      <c r="Q37" s="104">
        <f t="shared" si="6"/>
        <v>0</v>
      </c>
      <c r="T37" s="134">
        <f t="shared" si="7"/>
        <v>-266884231.95157474</v>
      </c>
    </row>
    <row r="38" spans="1:20" x14ac:dyDescent="0.3">
      <c r="A38" s="83">
        <f>ROW()</f>
        <v>38</v>
      </c>
      <c r="B38" s="84" t="s">
        <v>67</v>
      </c>
      <c r="C38" s="27">
        <f>'Detailed Summary'!D39</f>
        <v>29349151.43</v>
      </c>
      <c r="D38" s="51">
        <f>'Detailed Summary'!BB39</f>
        <v>-4193326.8191255038</v>
      </c>
      <c r="E38" s="65">
        <f t="shared" si="4"/>
        <v>25155824.610874496</v>
      </c>
      <c r="F38" s="51">
        <f>'Detailed Summary'!BB100</f>
        <v>136402.08183275192</v>
      </c>
      <c r="G38" s="12">
        <f t="shared" si="5"/>
        <v>25292226.692707248</v>
      </c>
      <c r="H38" s="103">
        <f>'Detailed Summary'!BB161</f>
        <v>4868408.5978826145</v>
      </c>
      <c r="I38" s="104">
        <f t="shared" si="6"/>
        <v>30160635.290589862</v>
      </c>
      <c r="J38" s="103">
        <f>+'Detailed Summary'!BB222</f>
        <v>6218682.880860067</v>
      </c>
      <c r="K38" s="104">
        <f t="shared" si="6"/>
        <v>36379318.171449929</v>
      </c>
      <c r="L38" s="103">
        <f>+'Detailed Summary'!BB283</f>
        <v>5657348.5288200313</v>
      </c>
      <c r="M38" s="1177">
        <f t="shared" si="6"/>
        <v>42036666.70026996</v>
      </c>
      <c r="N38" s="1163">
        <f>+'Detailed Summary'!BB344</f>
        <v>0</v>
      </c>
      <c r="O38" s="104"/>
      <c r="P38" s="103"/>
      <c r="Q38" s="104">
        <f t="shared" si="6"/>
        <v>0</v>
      </c>
      <c r="T38" s="134">
        <f t="shared" si="7"/>
        <v>-42036666.70026996</v>
      </c>
    </row>
    <row r="39" spans="1:20" x14ac:dyDescent="0.3">
      <c r="A39" s="83">
        <f>ROW()</f>
        <v>39</v>
      </c>
      <c r="B39" s="84" t="s">
        <v>68</v>
      </c>
      <c r="C39" s="27">
        <f>'Detailed Summary'!D40</f>
        <v>0</v>
      </c>
      <c r="D39" s="51">
        <f>'Detailed Summary'!BB40</f>
        <v>0</v>
      </c>
      <c r="E39" s="65">
        <f t="shared" si="4"/>
        <v>0</v>
      </c>
      <c r="F39" s="51">
        <f>'Detailed Summary'!BB101</f>
        <v>0</v>
      </c>
      <c r="G39" s="12">
        <f t="shared" si="5"/>
        <v>0</v>
      </c>
      <c r="H39" s="103">
        <f>'Detailed Summary'!BB162</f>
        <v>0</v>
      </c>
      <c r="I39" s="104">
        <f t="shared" si="6"/>
        <v>0</v>
      </c>
      <c r="J39" s="103">
        <f>+'Detailed Summary'!BB223</f>
        <v>0</v>
      </c>
      <c r="K39" s="104">
        <f t="shared" si="6"/>
        <v>0</v>
      </c>
      <c r="L39" s="103">
        <f>+'Detailed Summary'!BB284</f>
        <v>0</v>
      </c>
      <c r="M39" s="1177">
        <f t="shared" si="6"/>
        <v>0</v>
      </c>
      <c r="N39" s="1163">
        <f>+'Detailed Summary'!BB345</f>
        <v>0</v>
      </c>
      <c r="O39" s="104"/>
      <c r="P39" s="103"/>
      <c r="Q39" s="104">
        <f t="shared" si="6"/>
        <v>0</v>
      </c>
      <c r="T39" s="134">
        <f t="shared" si="7"/>
        <v>0</v>
      </c>
    </row>
    <row r="40" spans="1:20" x14ac:dyDescent="0.3">
      <c r="A40" s="83">
        <f>ROW()</f>
        <v>40</v>
      </c>
      <c r="B40" s="84" t="s">
        <v>69</v>
      </c>
      <c r="C40" s="27">
        <f>'Detailed Summary'!D41</f>
        <v>-124060557.32999998</v>
      </c>
      <c r="D40" s="51">
        <f>'Detailed Summary'!BB41</f>
        <v>134106852.17371558</v>
      </c>
      <c r="E40" s="65">
        <f t="shared" si="4"/>
        <v>10046294.843715593</v>
      </c>
      <c r="F40" s="51">
        <f>'Detailed Summary'!BB102</f>
        <v>7961876.0027319025</v>
      </c>
      <c r="G40" s="12">
        <f t="shared" si="5"/>
        <v>18008170.846447498</v>
      </c>
      <c r="H40" s="103">
        <f>'Detailed Summary'!BB163</f>
        <v>-2557299.6608350798</v>
      </c>
      <c r="I40" s="104">
        <f t="shared" si="6"/>
        <v>15450871.185612418</v>
      </c>
      <c r="J40" s="103">
        <f>+'Detailed Summary'!BB224</f>
        <v>9257229.4924300313</v>
      </c>
      <c r="K40" s="104">
        <f t="shared" si="6"/>
        <v>24708100.678042449</v>
      </c>
      <c r="L40" s="103">
        <f>+'Detailed Summary'!BB285</f>
        <v>-2972751.9275677251</v>
      </c>
      <c r="M40" s="1177">
        <f t="shared" si="6"/>
        <v>21735348.750474725</v>
      </c>
      <c r="N40" s="1163">
        <f>+'Detailed Summary'!BB346</f>
        <v>0</v>
      </c>
      <c r="O40" s="104"/>
      <c r="P40" s="103"/>
      <c r="Q40" s="104">
        <f t="shared" si="6"/>
        <v>0</v>
      </c>
      <c r="T40" s="134">
        <f t="shared" si="7"/>
        <v>-21735348.750474725</v>
      </c>
    </row>
    <row r="41" spans="1:20" x14ac:dyDescent="0.3">
      <c r="A41" s="83">
        <f>ROW()</f>
        <v>41</v>
      </c>
      <c r="B41" s="84" t="s">
        <v>70</v>
      </c>
      <c r="C41" s="27">
        <f>'Detailed Summary'!D42</f>
        <v>136186547.91999999</v>
      </c>
      <c r="D41" s="51">
        <f>'Detailed Summary'!BB42</f>
        <v>-106004273.80343454</v>
      </c>
      <c r="E41" s="65">
        <f t="shared" si="4"/>
        <v>30182274.116565451</v>
      </c>
      <c r="F41" s="51">
        <f>'Detailed Summary'!BB103</f>
        <v>-3895252.845588156</v>
      </c>
      <c r="G41" s="12">
        <f t="shared" si="5"/>
        <v>26287021.270977296</v>
      </c>
      <c r="H41" s="103">
        <f>'Detailed Summary'!BB164</f>
        <v>16057.467952087824</v>
      </c>
      <c r="I41" s="104">
        <f t="shared" si="6"/>
        <v>26303078.738929383</v>
      </c>
      <c r="J41" s="103">
        <f>+'Detailed Summary'!BB225</f>
        <v>-2044292.8222614489</v>
      </c>
      <c r="K41" s="104">
        <f t="shared" si="6"/>
        <v>24258785.916667935</v>
      </c>
      <c r="L41" s="103">
        <f>+'Detailed Summary'!BB286</f>
        <v>2171758.8418999189</v>
      </c>
      <c r="M41" s="1177">
        <f t="shared" si="6"/>
        <v>26430544.758567855</v>
      </c>
      <c r="N41" s="1163">
        <f>+'Detailed Summary'!BB347</f>
        <v>0</v>
      </c>
      <c r="O41" s="104"/>
      <c r="P41" s="103"/>
      <c r="Q41" s="104">
        <f t="shared" si="6"/>
        <v>0</v>
      </c>
      <c r="T41" s="134">
        <f t="shared" si="7"/>
        <v>-26430544.758567855</v>
      </c>
    </row>
    <row r="42" spans="1:20" x14ac:dyDescent="0.3">
      <c r="A42" s="83">
        <f>ROW()</f>
        <v>42</v>
      </c>
      <c r="B42" s="84" t="s">
        <v>71</v>
      </c>
      <c r="C42" s="27">
        <f>'Detailed Summary'!D43</f>
        <v>45229648.609999999</v>
      </c>
      <c r="D42" s="51">
        <f>'Detailed Summary'!BB43</f>
        <v>-9371632.3583930787</v>
      </c>
      <c r="E42" s="65">
        <f t="shared" si="4"/>
        <v>35858016.251606919</v>
      </c>
      <c r="F42" s="51">
        <f>'Detailed Summary'!BB104</f>
        <v>-20232365.156103261</v>
      </c>
      <c r="G42" s="12">
        <f t="shared" si="5"/>
        <v>15625651.095503658</v>
      </c>
      <c r="H42" s="103">
        <f>'Detailed Summary'!BB165</f>
        <v>-2691791.2126357174</v>
      </c>
      <c r="I42" s="104">
        <f t="shared" si="6"/>
        <v>12933859.88286794</v>
      </c>
      <c r="J42" s="103">
        <f>+'Detailed Summary'!BB226</f>
        <v>-22491279.148005385</v>
      </c>
      <c r="K42" s="104">
        <f t="shared" si="6"/>
        <v>-9557419.2651374452</v>
      </c>
      <c r="L42" s="103">
        <f>+'Detailed Summary'!BB287</f>
        <v>-2134536.4227033649</v>
      </c>
      <c r="M42" s="1177">
        <f t="shared" si="6"/>
        <v>-11691955.68784081</v>
      </c>
      <c r="N42" s="1163">
        <f>+'Detailed Summary'!BB348</f>
        <v>0</v>
      </c>
      <c r="O42" s="104"/>
      <c r="P42" s="103"/>
      <c r="Q42" s="104">
        <f t="shared" si="6"/>
        <v>0</v>
      </c>
      <c r="T42" s="134">
        <f t="shared" si="7"/>
        <v>11691955.68784081</v>
      </c>
    </row>
    <row r="43" spans="1:20" x14ac:dyDescent="0.3">
      <c r="A43" s="83">
        <f>ROW()</f>
        <v>43</v>
      </c>
      <c r="B43" s="84" t="s">
        <v>72</v>
      </c>
      <c r="C43" s="27">
        <f>'Detailed Summary'!D44</f>
        <v>-7579228.4499999881</v>
      </c>
      <c r="D43" s="51">
        <f>'Detailed Summary'!BB44</f>
        <v>425511.86349998927</v>
      </c>
      <c r="E43" s="65">
        <f t="shared" si="4"/>
        <v>-7153716.5864999983</v>
      </c>
      <c r="F43" s="51">
        <f>'Detailed Summary'!BB105</f>
        <v>-133104.75165847223</v>
      </c>
      <c r="G43" s="12">
        <f t="shared" si="5"/>
        <v>-7286821.3381584706</v>
      </c>
      <c r="H43" s="103">
        <f>'Detailed Summary'!BB166</f>
        <v>348814.75209316192</v>
      </c>
      <c r="I43" s="104">
        <f t="shared" si="6"/>
        <v>-6938006.5860653091</v>
      </c>
      <c r="J43" s="103">
        <f>+'Detailed Summary'!BB227</f>
        <v>-3984285.403344369</v>
      </c>
      <c r="K43" s="104">
        <f t="shared" si="6"/>
        <v>-10922291.989409678</v>
      </c>
      <c r="L43" s="103">
        <f>+'Detailed Summary'!BB288</f>
        <v>-184598.59659993602</v>
      </c>
      <c r="M43" s="1177">
        <f t="shared" si="6"/>
        <v>-11106890.586009614</v>
      </c>
      <c r="N43" s="1163">
        <f>+'Detailed Summary'!BB349</f>
        <v>0</v>
      </c>
      <c r="O43" s="104"/>
      <c r="P43" s="103">
        <f>+'Detailed Summary'!BB410</f>
        <v>0</v>
      </c>
      <c r="Q43" s="104">
        <f t="shared" si="6"/>
        <v>0</v>
      </c>
      <c r="T43" s="134">
        <f t="shared" si="7"/>
        <v>11106890.586009614</v>
      </c>
    </row>
    <row r="44" spans="1:20" x14ac:dyDescent="0.3">
      <c r="A44" s="83">
        <f>ROW()</f>
        <v>44</v>
      </c>
      <c r="B44" s="84" t="s">
        <v>3</v>
      </c>
      <c r="C44" s="28">
        <f t="shared" ref="C44:I44" si="8">SUM(C30:C43)</f>
        <v>442083574.93000001</v>
      </c>
      <c r="D44" s="52">
        <f t="shared" si="8"/>
        <v>1229124.4275757815</v>
      </c>
      <c r="E44" s="66">
        <f t="shared" si="8"/>
        <v>443312699.35757583</v>
      </c>
      <c r="F44" s="52">
        <f t="shared" si="8"/>
        <v>-24424431.890140936</v>
      </c>
      <c r="G44" s="13">
        <f t="shared" si="8"/>
        <v>418888267.46743488</v>
      </c>
      <c r="H44" s="37">
        <f t="shared" si="8"/>
        <v>8047608.8981920183</v>
      </c>
      <c r="I44" s="66">
        <f t="shared" si="8"/>
        <v>426935876.36562687</v>
      </c>
      <c r="J44" s="37">
        <f>(J19-J28)*0.21</f>
        <v>-756895.86</v>
      </c>
      <c r="K44" s="66">
        <f t="shared" ref="K44:Q44" si="9">SUM(K30:K43)</f>
        <v>505271623.19455522</v>
      </c>
      <c r="L44" s="37">
        <f t="shared" si="9"/>
        <v>13361574.55949834</v>
      </c>
      <c r="M44" s="1178">
        <f t="shared" si="9"/>
        <v>518633197.75405347</v>
      </c>
      <c r="N44" s="1164">
        <f t="shared" si="9"/>
        <v>0</v>
      </c>
      <c r="O44" s="66">
        <f t="shared" si="9"/>
        <v>0</v>
      </c>
      <c r="P44" s="37">
        <f t="shared" si="9"/>
        <v>0</v>
      </c>
      <c r="Q44" s="66">
        <f t="shared" si="9"/>
        <v>0</v>
      </c>
      <c r="T44" s="134">
        <f t="shared" si="7"/>
        <v>-518633197.75405347</v>
      </c>
    </row>
    <row r="45" spans="1:20" x14ac:dyDescent="0.3">
      <c r="A45" s="83">
        <f>ROW()</f>
        <v>45</v>
      </c>
      <c r="B45" s="84" t="s">
        <v>2</v>
      </c>
      <c r="C45" s="28">
        <f t="shared" ref="C45:M45" si="10">SUM(C28:C43)</f>
        <v>1152558116.3100002</v>
      </c>
      <c r="D45" s="52">
        <f t="shared" si="10"/>
        <v>-709245416.95242405</v>
      </c>
      <c r="E45" s="66">
        <f t="shared" si="10"/>
        <v>443312699.35757583</v>
      </c>
      <c r="F45" s="52">
        <f t="shared" si="10"/>
        <v>-24424431.890140936</v>
      </c>
      <c r="G45" s="13">
        <f t="shared" si="10"/>
        <v>418888267.46743488</v>
      </c>
      <c r="H45" s="37">
        <f t="shared" si="10"/>
        <v>8047608.8981920183</v>
      </c>
      <c r="I45" s="66">
        <f t="shared" si="10"/>
        <v>426935876.36562687</v>
      </c>
      <c r="J45" s="37">
        <f t="shared" si="10"/>
        <v>78335746.828928351</v>
      </c>
      <c r="K45" s="66">
        <f t="shared" si="10"/>
        <v>505271623.19455522</v>
      </c>
      <c r="L45" s="37">
        <f t="shared" si="10"/>
        <v>13361574.55949834</v>
      </c>
      <c r="M45" s="1178">
        <f t="shared" si="10"/>
        <v>518633197.75405347</v>
      </c>
      <c r="N45" s="1164">
        <f>SUM(N28:N43)</f>
        <v>0</v>
      </c>
      <c r="O45" s="66">
        <f>SUM(O28:O43)</f>
        <v>0</v>
      </c>
      <c r="P45" s="37">
        <f>SUM(P28:P43)</f>
        <v>0</v>
      </c>
      <c r="Q45" s="66">
        <f>SUM(Q28:Q43)</f>
        <v>0</v>
      </c>
      <c r="T45" s="134">
        <f t="shared" si="7"/>
        <v>-518633197.75405347</v>
      </c>
    </row>
    <row r="46" spans="1:20" x14ac:dyDescent="0.3">
      <c r="A46" s="83">
        <f>ROW()</f>
        <v>46</v>
      </c>
      <c r="B46" s="77"/>
      <c r="C46" s="21"/>
      <c r="D46" s="45"/>
      <c r="E46" s="59"/>
      <c r="F46" s="45"/>
      <c r="G46" s="256"/>
      <c r="H46" s="38"/>
      <c r="I46" s="256"/>
      <c r="J46" s="38"/>
      <c r="K46" s="256"/>
      <c r="L46" s="38"/>
      <c r="M46" s="1179"/>
      <c r="N46" s="1165"/>
      <c r="O46" s="256"/>
      <c r="P46" s="38"/>
      <c r="Q46" s="256"/>
      <c r="T46" s="134">
        <f t="shared" si="7"/>
        <v>0</v>
      </c>
    </row>
    <row r="47" spans="1:20" ht="13.5" thickBot="1" x14ac:dyDescent="0.35">
      <c r="A47" s="83">
        <f>ROW()</f>
        <v>47</v>
      </c>
      <c r="B47" s="85" t="s">
        <v>4</v>
      </c>
      <c r="C47" s="29">
        <f t="shared" ref="C47:M47" si="11">C19-C45</f>
        <v>182074206.58999991</v>
      </c>
      <c r="D47" s="53">
        <f t="shared" si="11"/>
        <v>31471903.925181746</v>
      </c>
      <c r="E47" s="67">
        <f t="shared" si="11"/>
        <v>213546110.51518196</v>
      </c>
      <c r="F47" s="53">
        <f t="shared" si="11"/>
        <v>-78820148.294894114</v>
      </c>
      <c r="G47" s="15">
        <f t="shared" si="11"/>
        <v>134725962.22028792</v>
      </c>
      <c r="H47" s="39">
        <f t="shared" si="11"/>
        <v>-7888712.6423408128</v>
      </c>
      <c r="I47" s="67">
        <f t="shared" si="11"/>
        <v>126837249.57794708</v>
      </c>
      <c r="J47" s="39">
        <f t="shared" si="11"/>
        <v>-81940012.828928351</v>
      </c>
      <c r="K47" s="1156">
        <f>K19-K45</f>
        <v>44897236.749018729</v>
      </c>
      <c r="L47" s="1166">
        <f t="shared" si="11"/>
        <v>-11217855.137752809</v>
      </c>
      <c r="M47" s="1156">
        <f t="shared" si="11"/>
        <v>33679381.611266017</v>
      </c>
      <c r="N47" s="1166">
        <f>N19-N45</f>
        <v>0</v>
      </c>
      <c r="O47" s="67">
        <f>O19-O45</f>
        <v>0</v>
      </c>
      <c r="P47" s="39">
        <f>P19-P45</f>
        <v>0</v>
      </c>
      <c r="Q47" s="67">
        <f>Q19-Q45</f>
        <v>0</v>
      </c>
      <c r="T47" s="134">
        <f t="shared" si="7"/>
        <v>-33679381.611266017</v>
      </c>
    </row>
    <row r="48" spans="1:20" ht="13.5" thickTop="1" x14ac:dyDescent="0.3">
      <c r="A48" s="83">
        <f>ROW()</f>
        <v>48</v>
      </c>
      <c r="B48" s="77"/>
      <c r="C48" s="25"/>
      <c r="D48" s="50"/>
      <c r="E48" s="63"/>
      <c r="F48" s="50"/>
      <c r="G48" s="10"/>
      <c r="H48" s="35"/>
      <c r="I48" s="63"/>
      <c r="J48" s="35"/>
      <c r="K48" s="313"/>
      <c r="L48" s="1147"/>
      <c r="M48" s="313"/>
      <c r="N48" s="1147"/>
      <c r="O48" s="63"/>
      <c r="P48" s="50"/>
      <c r="Q48" s="63"/>
      <c r="T48" s="134">
        <f t="shared" si="7"/>
        <v>0</v>
      </c>
    </row>
    <row r="49" spans="1:20" x14ac:dyDescent="0.3">
      <c r="A49" s="83">
        <f>ROW()</f>
        <v>49</v>
      </c>
      <c r="B49" s="77" t="s">
        <v>30</v>
      </c>
      <c r="C49" s="229">
        <f>ROUND(C47/C58,4)</f>
        <v>6.1699999999999998E-2</v>
      </c>
      <c r="D49" s="54"/>
      <c r="E49" s="230">
        <f>ROUND(E47/E58,4)</f>
        <v>7.3400000000000007E-2</v>
      </c>
      <c r="F49" s="54"/>
      <c r="G49" s="231">
        <f>ROUND(G47/G58,4)</f>
        <v>4.8099999999999997E-2</v>
      </c>
      <c r="H49" s="40"/>
      <c r="I49" s="230">
        <f>ROUND(I47/I58,4)</f>
        <v>4.3700000000000003E-2</v>
      </c>
      <c r="J49" s="40"/>
      <c r="K49" s="1180">
        <f>ROUND(K47/K58,4)</f>
        <v>1.5699999999999999E-2</v>
      </c>
      <c r="L49" s="1167"/>
      <c r="M49" s="1180">
        <f>ROUND(M47/M58,4)</f>
        <v>1.18E-2</v>
      </c>
      <c r="N49" s="1167"/>
      <c r="O49" s="230"/>
      <c r="P49" s="54"/>
      <c r="Q49" s="230"/>
      <c r="T49" s="134">
        <f t="shared" si="7"/>
        <v>-1.18E-2</v>
      </c>
    </row>
    <row r="50" spans="1:20" x14ac:dyDescent="0.3">
      <c r="A50" s="83">
        <f>ROW()</f>
        <v>50</v>
      </c>
      <c r="B50" s="77"/>
      <c r="C50" s="25"/>
      <c r="D50" s="50"/>
      <c r="E50" s="63"/>
      <c r="F50" s="50"/>
      <c r="G50" s="10"/>
      <c r="H50" s="35"/>
      <c r="I50" s="63"/>
      <c r="J50" s="35"/>
      <c r="K50" s="313"/>
      <c r="L50" s="1147"/>
      <c r="M50" s="313"/>
      <c r="N50" s="1147"/>
      <c r="O50" s="63"/>
      <c r="P50" s="50"/>
      <c r="Q50" s="63"/>
      <c r="T50" s="134">
        <f t="shared" si="7"/>
        <v>0</v>
      </c>
    </row>
    <row r="51" spans="1:20" x14ac:dyDescent="0.3">
      <c r="A51" s="83">
        <f>ROW()</f>
        <v>51</v>
      </c>
      <c r="B51" s="84" t="s">
        <v>20</v>
      </c>
      <c r="C51" s="26">
        <f>'Detailed Summary'!D54</f>
        <v>5489997433.7842302</v>
      </c>
      <c r="D51" s="55">
        <f>'Detailed Summary'!BB54</f>
        <v>-15609514.337408643</v>
      </c>
      <c r="E51" s="64">
        <f t="shared" ref="E51:Q56" si="12">SUM(C51:D51)</f>
        <v>5474387919.4468212</v>
      </c>
      <c r="F51" s="55">
        <f>'Detailed Summary'!BB115</f>
        <v>-46105522.513216615</v>
      </c>
      <c r="G51" s="11">
        <f t="shared" si="12"/>
        <v>5428282396.9336042</v>
      </c>
      <c r="H51" s="41">
        <f>'Detailed Summary'!BB176</f>
        <v>275416256.01664162</v>
      </c>
      <c r="I51" s="64">
        <f t="shared" si="12"/>
        <v>5703698652.9502459</v>
      </c>
      <c r="J51" s="41">
        <f>+'Detailed Summary'!BB237</f>
        <v>96310071.658515275</v>
      </c>
      <c r="K51" s="1181">
        <f t="shared" si="12"/>
        <v>5800008724.6087608</v>
      </c>
      <c r="L51" s="1168">
        <f>+'Detailed Summary'!BB298</f>
        <v>139401464.98797309</v>
      </c>
      <c r="M51" s="1181">
        <f t="shared" si="12"/>
        <v>5939410189.596734</v>
      </c>
      <c r="N51" s="1168">
        <f>+'Detailed Summary'!BB359</f>
        <v>0</v>
      </c>
      <c r="O51" s="64"/>
      <c r="P51" s="55"/>
      <c r="Q51" s="64">
        <f t="shared" si="12"/>
        <v>0</v>
      </c>
      <c r="T51" s="134">
        <f t="shared" si="7"/>
        <v>-5939410189.596734</v>
      </c>
    </row>
    <row r="52" spans="1:20" x14ac:dyDescent="0.3">
      <c r="A52" s="83">
        <f>ROW()</f>
        <v>52</v>
      </c>
      <c r="B52" s="84" t="s">
        <v>21</v>
      </c>
      <c r="C52" s="27">
        <f>'Detailed Summary'!D55</f>
        <v>-2082138429.1273692</v>
      </c>
      <c r="D52" s="51">
        <f>'Detailed Summary'!BB55</f>
        <v>-32018787.125473086</v>
      </c>
      <c r="E52" s="65">
        <f t="shared" si="12"/>
        <v>-2114157216.2528422</v>
      </c>
      <c r="F52" s="51">
        <f>'Detailed Summary'!BB116</f>
        <v>-81199586.268574759</v>
      </c>
      <c r="G52" s="12">
        <f t="shared" si="12"/>
        <v>-2195356802.5214171</v>
      </c>
      <c r="H52" s="36">
        <f>'Detailed Summary'!BB177</f>
        <v>-183477274.11866277</v>
      </c>
      <c r="I52" s="65">
        <f t="shared" si="12"/>
        <v>-2378834076.64008</v>
      </c>
      <c r="J52" s="41">
        <f>+'Detailed Summary'!BB238</f>
        <v>-141888812.60854107</v>
      </c>
      <c r="K52" s="1182">
        <f t="shared" si="12"/>
        <v>-2520722889.248621</v>
      </c>
      <c r="L52" s="1168">
        <f>+'Detailed Summary'!BB299</f>
        <v>-173208521.23579931</v>
      </c>
      <c r="M52" s="1182">
        <f t="shared" si="12"/>
        <v>-2693931410.4844203</v>
      </c>
      <c r="N52" s="1168">
        <f>+'Detailed Summary'!BB360</f>
        <v>0</v>
      </c>
      <c r="O52" s="65"/>
      <c r="P52" s="55"/>
      <c r="Q52" s="65">
        <f t="shared" si="12"/>
        <v>0</v>
      </c>
      <c r="T52" s="134">
        <f t="shared" si="7"/>
        <v>2693931410.4844203</v>
      </c>
    </row>
    <row r="53" spans="1:20" x14ac:dyDescent="0.3">
      <c r="A53" s="83">
        <f>ROW()</f>
        <v>53</v>
      </c>
      <c r="B53" s="84" t="s">
        <v>24</v>
      </c>
      <c r="C53" s="27">
        <f>'Detailed Summary'!D56</f>
        <v>18088017.405854166</v>
      </c>
      <c r="D53" s="51">
        <f>'Detailed Summary'!BB56</f>
        <v>-1424002.515854165</v>
      </c>
      <c r="E53" s="65">
        <f t="shared" si="12"/>
        <v>16664014.890000001</v>
      </c>
      <c r="F53" s="51">
        <f>'Detailed Summary'!BB117</f>
        <v>10827682.07823791</v>
      </c>
      <c r="G53" s="12">
        <f t="shared" si="12"/>
        <v>27491696.96823791</v>
      </c>
      <c r="H53" s="36">
        <f>'Detailed Summary'!BB178</f>
        <v>-10489888.836809613</v>
      </c>
      <c r="I53" s="65">
        <f t="shared" si="12"/>
        <v>17001808.131428298</v>
      </c>
      <c r="J53" s="41">
        <f>+'Detailed Summary'!BB239</f>
        <v>-6301235.2377254888</v>
      </c>
      <c r="K53" s="1182">
        <f t="shared" si="12"/>
        <v>10700572.893702809</v>
      </c>
      <c r="L53" s="1168">
        <f>+'Detailed Summary'!BB300</f>
        <v>-6604602.5850778967</v>
      </c>
      <c r="M53" s="1182">
        <f t="shared" si="12"/>
        <v>4095970.3086249121</v>
      </c>
      <c r="N53" s="1168">
        <f>+'Detailed Summary'!BB361</f>
        <v>0</v>
      </c>
      <c r="O53" s="65"/>
      <c r="P53" s="55"/>
      <c r="Q53" s="65">
        <f t="shared" si="12"/>
        <v>0</v>
      </c>
      <c r="T53" s="134">
        <f t="shared" si="7"/>
        <v>-4095970.3086249121</v>
      </c>
    </row>
    <row r="54" spans="1:20" x14ac:dyDescent="0.3">
      <c r="A54" s="83">
        <f>ROW()</f>
        <v>54</v>
      </c>
      <c r="B54" s="84" t="s">
        <v>25</v>
      </c>
      <c r="C54" s="27">
        <f>'Detailed Summary'!D57</f>
        <v>-602543825.29567158</v>
      </c>
      <c r="D54" s="51">
        <f>'Detailed Summary'!BB57</f>
        <v>18294673.269811057</v>
      </c>
      <c r="E54" s="65">
        <f t="shared" si="12"/>
        <v>-584249152.02586055</v>
      </c>
      <c r="F54" s="51">
        <f>'Detailed Summary'!BB118</f>
        <v>8453768.1023466121</v>
      </c>
      <c r="G54" s="12">
        <f t="shared" si="12"/>
        <v>-575795383.92351389</v>
      </c>
      <c r="H54" s="36">
        <f>'Detailed Summary'!BB179</f>
        <v>16891754.490923855</v>
      </c>
      <c r="I54" s="65">
        <f t="shared" si="12"/>
        <v>-558903629.43259001</v>
      </c>
      <c r="J54" s="41">
        <f>+'Detailed Summary'!BB240</f>
        <v>17593744.415825292</v>
      </c>
      <c r="K54" s="1182">
        <f t="shared" si="12"/>
        <v>-541309885.01676476</v>
      </c>
      <c r="L54" s="1168">
        <f>+'Detailed Summary'!BB301</f>
        <v>37035962.085043602</v>
      </c>
      <c r="M54" s="1182">
        <f t="shared" si="12"/>
        <v>-504273922.93172115</v>
      </c>
      <c r="N54" s="1168">
        <f>+'Detailed Summary'!BB362</f>
        <v>0</v>
      </c>
      <c r="O54" s="65"/>
      <c r="P54" s="55">
        <f>+'Detailed Summary'!BB423</f>
        <v>0</v>
      </c>
      <c r="Q54" s="65">
        <f t="shared" si="12"/>
        <v>0</v>
      </c>
      <c r="T54" s="134">
        <f t="shared" si="7"/>
        <v>504273922.93172115</v>
      </c>
    </row>
    <row r="55" spans="1:20" x14ac:dyDescent="0.3">
      <c r="A55" s="83">
        <f>ROW()</f>
        <v>55</v>
      </c>
      <c r="B55" s="84" t="s">
        <v>26</v>
      </c>
      <c r="C55" s="27">
        <f>'Detailed Summary'!D58</f>
        <v>127273380.60826026</v>
      </c>
      <c r="D55" s="51">
        <f>'Detailed Summary'!BB58</f>
        <v>-8245213.3162603527</v>
      </c>
      <c r="E55" s="65">
        <f t="shared" si="12"/>
        <v>119028167.29199991</v>
      </c>
      <c r="F55" s="51">
        <f>'Detailed Summary'!BB119</f>
        <v>0</v>
      </c>
      <c r="G55" s="12">
        <f t="shared" si="12"/>
        <v>119028167.29199991</v>
      </c>
      <c r="H55" s="36">
        <f>'Detailed Summary'!BB180</f>
        <v>0</v>
      </c>
      <c r="I55" s="65">
        <f t="shared" si="12"/>
        <v>119028167.29199991</v>
      </c>
      <c r="J55" s="41">
        <f>+'Detailed Summary'!BB241</f>
        <v>0</v>
      </c>
      <c r="K55" s="1182">
        <f t="shared" si="12"/>
        <v>119028167.29199991</v>
      </c>
      <c r="L55" s="1168">
        <f>+'Detailed Summary'!BB302</f>
        <v>0</v>
      </c>
      <c r="M55" s="1182">
        <f t="shared" si="12"/>
        <v>119028167.29199991</v>
      </c>
      <c r="N55" s="1168">
        <f>+'Detailed Summary'!BB363</f>
        <v>0</v>
      </c>
      <c r="O55" s="65"/>
      <c r="P55" s="55">
        <f>+'Detailed Summary'!BB424</f>
        <v>0</v>
      </c>
      <c r="Q55" s="65">
        <f t="shared" si="12"/>
        <v>0</v>
      </c>
      <c r="T55" s="134">
        <f t="shared" si="7"/>
        <v>-119028167.29199991</v>
      </c>
    </row>
    <row r="56" spans="1:20" x14ac:dyDescent="0.3">
      <c r="A56" s="83">
        <f>ROW()</f>
        <v>56</v>
      </c>
      <c r="B56" s="84" t="s">
        <v>27</v>
      </c>
      <c r="C56" s="27">
        <f>'Detailed Summary'!D59</f>
        <v>-1782190.3299845832</v>
      </c>
      <c r="D56" s="51">
        <f>'Detailed Summary'!BB59</f>
        <v>581492.75057958323</v>
      </c>
      <c r="E56" s="65">
        <f t="shared" si="12"/>
        <v>-1200697.579405</v>
      </c>
      <c r="F56" s="51">
        <f>'Detailed Summary'!BB120</f>
        <v>0</v>
      </c>
      <c r="G56" s="12">
        <f t="shared" si="12"/>
        <v>-1200697.579405</v>
      </c>
      <c r="H56" s="36">
        <f>'Detailed Summary'!BB181</f>
        <v>0</v>
      </c>
      <c r="I56" s="65">
        <f t="shared" si="12"/>
        <v>-1200697.579405</v>
      </c>
      <c r="J56" s="41">
        <f>+'Detailed Summary'!BB242</f>
        <v>0</v>
      </c>
      <c r="K56" s="1182">
        <f t="shared" si="12"/>
        <v>-1200697.579405</v>
      </c>
      <c r="L56" s="1168">
        <f>+'Detailed Summary'!BB303</f>
        <v>0</v>
      </c>
      <c r="M56" s="1182">
        <f t="shared" si="12"/>
        <v>-1200697.579405</v>
      </c>
      <c r="N56" s="1168">
        <f>+'Detailed Summary'!BB364</f>
        <v>0</v>
      </c>
      <c r="O56" s="65"/>
      <c r="P56" s="55">
        <f>+'Detailed Summary'!BB425</f>
        <v>0</v>
      </c>
      <c r="Q56" s="65">
        <f t="shared" si="12"/>
        <v>0</v>
      </c>
      <c r="T56" s="134">
        <f t="shared" si="7"/>
        <v>1200697.579405</v>
      </c>
    </row>
    <row r="57" spans="1:20" x14ac:dyDescent="0.3">
      <c r="A57" s="83">
        <f>ROW()</f>
        <v>57</v>
      </c>
      <c r="B57" s="84"/>
      <c r="C57" s="21"/>
      <c r="D57" s="45"/>
      <c r="E57" s="59"/>
      <c r="F57" s="45"/>
      <c r="G57" s="14"/>
      <c r="H57" s="38"/>
      <c r="I57" s="59"/>
      <c r="J57" s="38"/>
      <c r="K57" s="1141"/>
      <c r="L57" s="1165"/>
      <c r="M57" s="1141"/>
      <c r="N57" s="1165"/>
      <c r="O57" s="59"/>
      <c r="P57" s="45"/>
      <c r="Q57" s="59"/>
      <c r="T57" s="134">
        <f t="shared" si="7"/>
        <v>0</v>
      </c>
    </row>
    <row r="58" spans="1:20" ht="13.5" thickBot="1" x14ac:dyDescent="0.35">
      <c r="A58" s="83">
        <f>ROW()</f>
        <v>58</v>
      </c>
      <c r="B58" s="85" t="s">
        <v>22</v>
      </c>
      <c r="C58" s="29">
        <f>SUM(C51:C57)</f>
        <v>2948894387.0453196</v>
      </c>
      <c r="D58" s="53">
        <f t="shared" ref="D58:I58" si="13">SUM(D51:D57)</f>
        <v>-38421351.274605609</v>
      </c>
      <c r="E58" s="67">
        <f t="shared" si="13"/>
        <v>2910473035.7707138</v>
      </c>
      <c r="F58" s="53">
        <f t="shared" si="13"/>
        <v>-108023658.60120685</v>
      </c>
      <c r="G58" s="15">
        <f t="shared" si="13"/>
        <v>2802449377.1695061</v>
      </c>
      <c r="H58" s="39">
        <f>SUM(H51:H57)</f>
        <v>98340847.552093089</v>
      </c>
      <c r="I58" s="67">
        <f t="shared" si="13"/>
        <v>2900790224.7215991</v>
      </c>
      <c r="J58" s="39">
        <f t="shared" ref="J58:Q58" si="14">SUM(J51:J57)</f>
        <v>-34286231.771925993</v>
      </c>
      <c r="K58" s="1156">
        <f t="shared" si="14"/>
        <v>2866503992.9496732</v>
      </c>
      <c r="L58" s="1166">
        <f t="shared" si="14"/>
        <v>-3375696.7478605136</v>
      </c>
      <c r="M58" s="1156">
        <f t="shared" si="14"/>
        <v>2863128296.2018123</v>
      </c>
      <c r="N58" s="1166">
        <f t="shared" si="14"/>
        <v>0</v>
      </c>
      <c r="O58" s="67">
        <f t="shared" si="14"/>
        <v>0</v>
      </c>
      <c r="P58" s="39">
        <f t="shared" si="14"/>
        <v>0</v>
      </c>
      <c r="Q58" s="67">
        <f t="shared" si="14"/>
        <v>0</v>
      </c>
      <c r="T58" s="134">
        <f t="shared" si="7"/>
        <v>-2863128296.2018123</v>
      </c>
    </row>
    <row r="59" spans="1:20" ht="13.5" thickTop="1" x14ac:dyDescent="0.3">
      <c r="A59" s="83">
        <f>ROW()</f>
        <v>59</v>
      </c>
      <c r="B59" s="77"/>
      <c r="C59" s="25"/>
      <c r="D59" s="50"/>
      <c r="E59" s="63"/>
      <c r="F59" s="50"/>
      <c r="G59" s="10"/>
      <c r="H59" s="35"/>
      <c r="I59" s="63"/>
      <c r="J59" s="35"/>
      <c r="K59" s="313"/>
      <c r="L59" s="1147"/>
      <c r="M59" s="313"/>
      <c r="N59" s="1147"/>
      <c r="O59" s="63"/>
      <c r="P59" s="50"/>
      <c r="Q59" s="63"/>
      <c r="T59" s="134">
        <f t="shared" si="7"/>
        <v>0</v>
      </c>
    </row>
    <row r="60" spans="1:20" x14ac:dyDescent="0.3">
      <c r="A60" s="83">
        <f>ROW()</f>
        <v>60</v>
      </c>
      <c r="B60" s="77" t="s">
        <v>29</v>
      </c>
      <c r="C60" s="30">
        <f>'Def, COC, ConvF DPK-7 '!K27</f>
        <v>7.3575000000000002E-2</v>
      </c>
      <c r="D60" s="54">
        <f>C60</f>
        <v>7.3575000000000002E-2</v>
      </c>
      <c r="E60" s="68">
        <f t="shared" ref="E60:J60" si="15">D60</f>
        <v>7.3575000000000002E-2</v>
      </c>
      <c r="F60" s="54">
        <f t="shared" si="15"/>
        <v>7.3575000000000002E-2</v>
      </c>
      <c r="G60" s="16">
        <f t="shared" si="15"/>
        <v>7.3575000000000002E-2</v>
      </c>
      <c r="H60" s="40">
        <f t="shared" si="15"/>
        <v>7.3575000000000002E-2</v>
      </c>
      <c r="I60" s="68">
        <f t="shared" si="15"/>
        <v>7.3575000000000002E-2</v>
      </c>
      <c r="J60" s="40">
        <f t="shared" si="15"/>
        <v>7.3575000000000002E-2</v>
      </c>
      <c r="K60" s="1183">
        <f>'Def, COC, ConvF DPK-7 '!$K$27</f>
        <v>7.3575000000000002E-2</v>
      </c>
      <c r="L60" s="1167">
        <f>+'Def, COC, ConvF DPK-7 '!D13</f>
        <v>7.3700000000000002E-2</v>
      </c>
      <c r="M60" s="1183">
        <f t="shared" ref="M60:Q60" si="16">L60</f>
        <v>7.3700000000000002E-2</v>
      </c>
      <c r="N60" s="1169"/>
      <c r="O60" s="68">
        <f t="shared" si="16"/>
        <v>0</v>
      </c>
      <c r="P60" s="68"/>
      <c r="Q60" s="68">
        <f t="shared" si="16"/>
        <v>0</v>
      </c>
      <c r="T60" s="134">
        <f t="shared" si="7"/>
        <v>-7.3700000000000002E-2</v>
      </c>
    </row>
    <row r="61" spans="1:20" x14ac:dyDescent="0.3">
      <c r="A61" s="83">
        <f>ROW()</f>
        <v>61</v>
      </c>
      <c r="B61" s="77"/>
      <c r="C61" s="30"/>
      <c r="D61" s="54"/>
      <c r="E61" s="68"/>
      <c r="F61" s="54"/>
      <c r="G61" s="16"/>
      <c r="H61" s="40"/>
      <c r="I61" s="68"/>
      <c r="J61" s="40"/>
      <c r="K61" s="1183"/>
      <c r="L61" s="1167"/>
      <c r="M61" s="1183"/>
      <c r="N61" s="1167"/>
      <c r="O61" s="68"/>
      <c r="P61" s="54"/>
      <c r="Q61" s="68"/>
      <c r="T61" s="134">
        <f t="shared" si="7"/>
        <v>0</v>
      </c>
    </row>
    <row r="62" spans="1:20" x14ac:dyDescent="0.3">
      <c r="A62" s="83">
        <f>ROW()</f>
        <v>62</v>
      </c>
      <c r="B62" s="77" t="s">
        <v>44</v>
      </c>
      <c r="C62" s="31">
        <f>+C47-(C58*C60)</f>
        <v>-34890697.936859488</v>
      </c>
      <c r="D62" s="56">
        <f>+D47-(D58*D60)</f>
        <v>34298754.845210858</v>
      </c>
      <c r="E62" s="69">
        <f t="shared" ref="E62:J62" si="17">+E47-(E58*E60)</f>
        <v>-591943.09164831042</v>
      </c>
      <c r="F62" s="56">
        <f t="shared" si="17"/>
        <v>-70872307.613310322</v>
      </c>
      <c r="G62" s="17">
        <f t="shared" si="17"/>
        <v>-71464250.704958498</v>
      </c>
      <c r="H62" s="42">
        <f t="shared" si="17"/>
        <v>-15124140.500986062</v>
      </c>
      <c r="I62" s="69">
        <f t="shared" si="17"/>
        <v>-86588391.205944568</v>
      </c>
      <c r="J62" s="42">
        <f t="shared" si="17"/>
        <v>-79417403.326308891</v>
      </c>
      <c r="K62" s="312">
        <f t="shared" ref="K62:Q62" si="18">+K47-(K58*K60)</f>
        <v>-166005794.53225347</v>
      </c>
      <c r="L62" s="1160">
        <f t="shared" si="18"/>
        <v>-10969066.287435489</v>
      </c>
      <c r="M62" s="312">
        <f t="shared" si="18"/>
        <v>-177333173.81880754</v>
      </c>
      <c r="N62" s="1160">
        <f t="shared" si="18"/>
        <v>0</v>
      </c>
      <c r="O62" s="69">
        <f t="shared" si="18"/>
        <v>0</v>
      </c>
      <c r="P62" s="42">
        <f t="shared" si="18"/>
        <v>0</v>
      </c>
      <c r="Q62" s="69">
        <f t="shared" si="18"/>
        <v>0</v>
      </c>
      <c r="T62" s="134">
        <f t="shared" si="7"/>
        <v>177333173.81880754</v>
      </c>
    </row>
    <row r="63" spans="1:20" x14ac:dyDescent="0.3">
      <c r="A63" s="83">
        <f>ROW()</f>
        <v>63</v>
      </c>
      <c r="B63" s="77" t="s">
        <v>23</v>
      </c>
      <c r="C63" s="32">
        <f>'Def, COC, ConvF DPK-7 '!P20</f>
        <v>0.75421300000000002</v>
      </c>
      <c r="D63" s="57">
        <f>C63</f>
        <v>0.75421300000000002</v>
      </c>
      <c r="E63" s="70">
        <f t="shared" ref="E63:J63" si="19">D63</f>
        <v>0.75421300000000002</v>
      </c>
      <c r="F63" s="57">
        <f t="shared" si="19"/>
        <v>0.75421300000000002</v>
      </c>
      <c r="G63" s="18">
        <f t="shared" si="19"/>
        <v>0.75421300000000002</v>
      </c>
      <c r="H63" s="43">
        <f t="shared" si="19"/>
        <v>0.75421300000000002</v>
      </c>
      <c r="I63" s="70">
        <f t="shared" si="19"/>
        <v>0.75421300000000002</v>
      </c>
      <c r="J63" s="43">
        <f t="shared" si="19"/>
        <v>0.75421300000000002</v>
      </c>
      <c r="K63" s="1184">
        <f>'Def, COC, ConvF DPK-7 '!P20</f>
        <v>0.75421300000000002</v>
      </c>
      <c r="L63" s="1170">
        <f t="shared" ref="L63:M63" si="20">K63</f>
        <v>0.75421300000000002</v>
      </c>
      <c r="M63" s="1184">
        <f t="shared" si="20"/>
        <v>0.75421300000000002</v>
      </c>
      <c r="N63" s="1170"/>
      <c r="O63" s="70">
        <f>N63</f>
        <v>0</v>
      </c>
      <c r="P63" s="43">
        <f>O63</f>
        <v>0</v>
      </c>
      <c r="Q63" s="70">
        <f>P63</f>
        <v>0</v>
      </c>
      <c r="T63" s="134">
        <f t="shared" si="7"/>
        <v>-0.75421300000000002</v>
      </c>
    </row>
    <row r="64" spans="1:20" x14ac:dyDescent="0.3">
      <c r="A64" s="83">
        <f>ROW()</f>
        <v>64</v>
      </c>
      <c r="B64" s="77"/>
      <c r="C64" s="21"/>
      <c r="D64" s="45"/>
      <c r="E64" s="59"/>
      <c r="F64" s="45"/>
      <c r="G64" s="14"/>
      <c r="H64" s="38"/>
      <c r="I64" s="59"/>
      <c r="J64" s="38"/>
      <c r="K64" s="1141"/>
      <c r="L64" s="1165"/>
      <c r="M64" s="1141"/>
      <c r="N64" s="1165"/>
      <c r="O64" s="59"/>
      <c r="P64" s="45"/>
      <c r="Q64" s="59"/>
      <c r="T64" s="134">
        <f t="shared" si="7"/>
        <v>0</v>
      </c>
    </row>
    <row r="65" spans="1:20" ht="13.5" thickBot="1" x14ac:dyDescent="0.35">
      <c r="A65" s="83">
        <f>ROW()</f>
        <v>65</v>
      </c>
      <c r="B65" s="85" t="s">
        <v>869</v>
      </c>
      <c r="C65" s="29">
        <f>-C62/C63</f>
        <v>46261066.750187926</v>
      </c>
      <c r="D65" s="53">
        <f>-D62/D63</f>
        <v>-45476218.05141367</v>
      </c>
      <c r="E65" s="67">
        <f t="shared" ref="E65:J65" si="21">-E62/E63</f>
        <v>784848.69877383497</v>
      </c>
      <c r="F65" s="53">
        <f t="shared" si="21"/>
        <v>93968557.44108139</v>
      </c>
      <c r="G65" s="19">
        <f t="shared" si="21"/>
        <v>94753406.139855042</v>
      </c>
      <c r="H65" s="39">
        <f t="shared" si="21"/>
        <v>20052876.973727662</v>
      </c>
      <c r="I65" s="73">
        <f t="shared" si="21"/>
        <v>114806283.11358272</v>
      </c>
      <c r="J65" s="39">
        <f t="shared" si="21"/>
        <v>105298375.02974476</v>
      </c>
      <c r="K65" s="311">
        <f t="shared" ref="K65:M65" si="22">-K62/K63</f>
        <v>220104658.1433275</v>
      </c>
      <c r="L65" s="1166">
        <f t="shared" si="22"/>
        <v>14543724.766658077</v>
      </c>
      <c r="M65" s="311">
        <f t="shared" si="22"/>
        <v>235123464.88168135</v>
      </c>
      <c r="N65" s="1166"/>
      <c r="O65" s="73"/>
      <c r="P65" s="39"/>
      <c r="Q65" s="73"/>
      <c r="T65" s="134">
        <f t="shared" si="7"/>
        <v>-235123464.88168135</v>
      </c>
    </row>
    <row r="66" spans="1:20" ht="13.5" thickTop="1" x14ac:dyDescent="0.3">
      <c r="A66" s="83">
        <f>ROW()</f>
        <v>66</v>
      </c>
      <c r="B66" s="77"/>
      <c r="C66" s="25"/>
      <c r="D66" s="50"/>
      <c r="E66" s="63"/>
      <c r="F66" s="50"/>
      <c r="G66" s="313"/>
      <c r="H66" s="35"/>
      <c r="I66" s="313"/>
      <c r="J66" s="1147"/>
      <c r="K66" s="313"/>
      <c r="L66" s="1147"/>
      <c r="M66" s="313"/>
      <c r="N66" s="1147"/>
      <c r="O66" s="63"/>
      <c r="P66" s="50"/>
      <c r="Q66" s="63"/>
      <c r="T66" s="134">
        <f t="shared" si="7"/>
        <v>0</v>
      </c>
    </row>
    <row r="67" spans="1:20" hidden="1" outlineLevel="1" x14ac:dyDescent="0.3">
      <c r="A67" s="83">
        <f>ROW()</f>
        <v>67</v>
      </c>
      <c r="B67" s="77"/>
      <c r="C67" s="25"/>
      <c r="D67" s="50"/>
      <c r="E67" s="63"/>
      <c r="F67" s="50"/>
      <c r="G67" s="312"/>
      <c r="H67" s="35"/>
      <c r="I67" s="312"/>
      <c r="J67" s="1147"/>
      <c r="K67" s="312"/>
      <c r="L67" s="1147"/>
      <c r="M67" s="312"/>
      <c r="N67" s="1147"/>
      <c r="O67" s="69"/>
      <c r="P67" s="50"/>
      <c r="Q67" s="69"/>
      <c r="T67" s="134">
        <f t="shared" si="7"/>
        <v>0</v>
      </c>
    </row>
    <row r="68" spans="1:20" hidden="1" outlineLevel="1" x14ac:dyDescent="0.3">
      <c r="A68" s="83">
        <f>ROW()</f>
        <v>68</v>
      </c>
      <c r="B68" s="77"/>
      <c r="C68" s="25"/>
      <c r="D68" s="50"/>
      <c r="E68" s="63"/>
      <c r="F68" s="50"/>
      <c r="G68" s="313"/>
      <c r="H68" s="35"/>
      <c r="I68" s="313"/>
      <c r="J68" s="1147"/>
      <c r="K68" s="313"/>
      <c r="L68" s="1147"/>
      <c r="M68" s="313"/>
      <c r="N68" s="1147"/>
      <c r="O68" s="63"/>
      <c r="P68" s="50"/>
      <c r="Q68" s="63"/>
      <c r="T68" s="134">
        <f t="shared" si="7"/>
        <v>0</v>
      </c>
    </row>
    <row r="69" spans="1:20" hidden="1" outlineLevel="1" x14ac:dyDescent="0.3">
      <c r="A69" s="83">
        <f>ROW()</f>
        <v>69</v>
      </c>
      <c r="B69" s="77"/>
      <c r="C69" s="25"/>
      <c r="D69" s="50"/>
      <c r="E69" s="63"/>
      <c r="F69" s="50"/>
      <c r="G69" s="311"/>
      <c r="H69" s="35"/>
      <c r="I69" s="311"/>
      <c r="J69" s="1148"/>
      <c r="K69" s="311"/>
      <c r="L69" s="1148"/>
      <c r="M69" s="311"/>
      <c r="N69" s="1147"/>
      <c r="O69" s="73"/>
      <c r="P69" s="50"/>
      <c r="Q69" s="73"/>
      <c r="T69" s="134">
        <f t="shared" si="7"/>
        <v>0</v>
      </c>
    </row>
    <row r="70" spans="1:20" hidden="1" outlineLevel="1" x14ac:dyDescent="0.3">
      <c r="A70" s="83">
        <f>ROW()</f>
        <v>70</v>
      </c>
      <c r="B70" s="77"/>
      <c r="C70" s="25"/>
      <c r="D70" s="50"/>
      <c r="E70" s="63"/>
      <c r="F70" s="50"/>
      <c r="G70" s="311"/>
      <c r="H70" s="35"/>
      <c r="I70" s="311"/>
      <c r="J70" s="1149"/>
      <c r="K70" s="311"/>
      <c r="L70" s="1149"/>
      <c r="M70" s="311"/>
      <c r="O70" s="73"/>
      <c r="Q70" s="73"/>
      <c r="T70" s="134">
        <f t="shared" si="7"/>
        <v>0</v>
      </c>
    </row>
    <row r="71" spans="1:20" collapsed="1" x14ac:dyDescent="0.3">
      <c r="A71" s="83">
        <f>ROW()</f>
        <v>71</v>
      </c>
      <c r="B71" s="77" t="s">
        <v>870</v>
      </c>
      <c r="C71" s="25"/>
      <c r="D71" s="50"/>
      <c r="E71" s="63"/>
      <c r="F71" s="50"/>
      <c r="G71" s="19"/>
      <c r="H71" s="35"/>
      <c r="I71" s="311"/>
      <c r="J71" s="1150" t="s">
        <v>343</v>
      </c>
      <c r="K71" s="1152">
        <f>K65</f>
        <v>220104658.1433275</v>
      </c>
      <c r="L71" s="1150" t="s">
        <v>344</v>
      </c>
      <c r="M71" s="1152">
        <f>M65-K65</f>
        <v>15018806.738353848</v>
      </c>
      <c r="N71" s="2" t="s">
        <v>345</v>
      </c>
      <c r="O71" s="424"/>
      <c r="P71" s="2" t="s">
        <v>947</v>
      </c>
      <c r="Q71" s="424"/>
      <c r="T71" s="134">
        <f t="shared" si="7"/>
        <v>-15018806.738353848</v>
      </c>
    </row>
    <row r="72" spans="1:20" hidden="1" outlineLevel="1" x14ac:dyDescent="0.3">
      <c r="A72" s="83">
        <f>ROW()</f>
        <v>72</v>
      </c>
      <c r="B72" s="77"/>
      <c r="C72" s="25"/>
      <c r="D72" s="50"/>
      <c r="E72" s="63"/>
      <c r="F72" s="50"/>
      <c r="G72" s="19"/>
      <c r="H72" s="35"/>
      <c r="I72" s="311"/>
      <c r="J72" s="1150"/>
      <c r="K72" s="1152"/>
      <c r="L72" s="228"/>
      <c r="M72" s="1152"/>
      <c r="N72" s="2"/>
      <c r="O72" s="424"/>
      <c r="P72" s="2"/>
      <c r="Q72" s="424"/>
      <c r="T72" s="134">
        <f t="shared" si="7"/>
        <v>0</v>
      </c>
    </row>
    <row r="73" spans="1:20" hidden="1" outlineLevel="1" x14ac:dyDescent="0.3">
      <c r="A73" s="83">
        <f>ROW()</f>
        <v>73</v>
      </c>
      <c r="B73" s="77" t="s">
        <v>845</v>
      </c>
      <c r="C73" s="25"/>
      <c r="D73" s="50"/>
      <c r="E73" s="63"/>
      <c r="F73" s="50"/>
      <c r="G73" s="73"/>
      <c r="H73" s="35"/>
      <c r="I73" s="311"/>
      <c r="J73" s="1150"/>
      <c r="K73" s="1152"/>
      <c r="L73" s="228"/>
      <c r="M73" s="1152"/>
      <c r="N73" s="1171"/>
      <c r="O73" s="424"/>
      <c r="P73" s="314"/>
      <c r="Q73" s="424"/>
      <c r="T73" s="134">
        <f t="shared" si="7"/>
        <v>0</v>
      </c>
    </row>
    <row r="74" spans="1:20" hidden="1" outlineLevel="1" x14ac:dyDescent="0.3">
      <c r="A74" s="83">
        <f>ROW()</f>
        <v>74</v>
      </c>
      <c r="B74" s="77" t="s">
        <v>873</v>
      </c>
      <c r="C74" s="25"/>
      <c r="D74" s="50"/>
      <c r="E74" s="63"/>
      <c r="F74" s="50"/>
      <c r="G74" s="73"/>
      <c r="H74" s="35"/>
      <c r="I74" s="311"/>
      <c r="J74" s="1150"/>
      <c r="K74" s="1153"/>
      <c r="L74" s="189"/>
      <c r="M74" s="1153"/>
      <c r="N74" s="1172"/>
      <c r="O74" s="425">
        <f>O71-O75</f>
        <v>0</v>
      </c>
      <c r="P74" s="315"/>
      <c r="Q74" s="425">
        <f>Q71-Q75</f>
        <v>0</v>
      </c>
      <c r="T74" s="134">
        <f t="shared" si="7"/>
        <v>0</v>
      </c>
    </row>
    <row r="75" spans="1:20" hidden="1" outlineLevel="1" x14ac:dyDescent="0.3">
      <c r="A75" s="83">
        <f>ROW()</f>
        <v>75</v>
      </c>
      <c r="B75" s="77" t="s">
        <v>861</v>
      </c>
      <c r="C75" s="25"/>
      <c r="D75" s="50"/>
      <c r="E75" s="63"/>
      <c r="F75" s="50"/>
      <c r="G75" s="73"/>
      <c r="H75" s="35"/>
      <c r="I75" s="311"/>
      <c r="J75" s="1150"/>
      <c r="K75" s="1153"/>
      <c r="L75" s="373"/>
      <c r="M75" s="1153"/>
      <c r="N75" s="1172"/>
      <c r="O75" s="425"/>
      <c r="P75" s="315"/>
      <c r="Q75" s="425"/>
      <c r="T75" s="134">
        <f t="shared" si="7"/>
        <v>0</v>
      </c>
    </row>
    <row r="76" spans="1:20" hidden="1" outlineLevel="1" x14ac:dyDescent="0.3">
      <c r="A76" s="83">
        <f>ROW()</f>
        <v>76</v>
      </c>
      <c r="B76" s="77" t="s">
        <v>41</v>
      </c>
      <c r="C76" s="25"/>
      <c r="D76" s="50"/>
      <c r="E76" s="63"/>
      <c r="F76" s="50"/>
      <c r="G76" s="73"/>
      <c r="H76" s="35"/>
      <c r="I76" s="311"/>
      <c r="J76" s="1150"/>
      <c r="K76" s="1154">
        <f>K71</f>
        <v>220104658.1433275</v>
      </c>
      <c r="L76" s="228"/>
      <c r="M76" s="1154">
        <f>M71</f>
        <v>15018806.738353848</v>
      </c>
      <c r="N76" s="374"/>
      <c r="O76" s="426">
        <f>O71</f>
        <v>0</v>
      </c>
      <c r="P76" s="374"/>
      <c r="Q76" s="426">
        <f>Q71</f>
        <v>0</v>
      </c>
      <c r="T76" s="134">
        <f t="shared" si="7"/>
        <v>-15018806.738353848</v>
      </c>
    </row>
    <row r="77" spans="1:20" hidden="1" outlineLevel="1" x14ac:dyDescent="0.3">
      <c r="A77" s="83">
        <f>ROW()</f>
        <v>77</v>
      </c>
      <c r="B77" s="77"/>
      <c r="C77" s="25"/>
      <c r="D77" s="50"/>
      <c r="E77" s="63"/>
      <c r="F77" s="50"/>
      <c r="G77" s="323"/>
      <c r="H77" s="35"/>
      <c r="I77" s="311"/>
      <c r="J77" s="1150"/>
      <c r="K77" s="1153"/>
      <c r="L77" s="228"/>
      <c r="M77" s="1153"/>
      <c r="N77" s="374"/>
      <c r="O77" s="425"/>
      <c r="P77" s="374"/>
      <c r="Q77" s="425"/>
      <c r="T77" s="134">
        <f t="shared" si="7"/>
        <v>0</v>
      </c>
    </row>
    <row r="78" spans="1:20" hidden="1" outlineLevel="1" x14ac:dyDescent="0.3">
      <c r="A78" s="83">
        <f>ROW()</f>
        <v>78</v>
      </c>
      <c r="B78" s="77"/>
      <c r="C78" s="25"/>
      <c r="D78" s="50"/>
      <c r="E78" s="63"/>
      <c r="F78" s="50"/>
      <c r="G78" s="323"/>
      <c r="H78" s="35"/>
      <c r="I78" s="311"/>
      <c r="J78" s="1150"/>
      <c r="K78" s="1153"/>
      <c r="L78" s="228"/>
      <c r="M78" s="1153"/>
      <c r="N78" s="374"/>
      <c r="O78" s="427"/>
      <c r="P78" s="374"/>
      <c r="Q78" s="427"/>
      <c r="T78" s="134">
        <f t="shared" si="7"/>
        <v>0</v>
      </c>
    </row>
    <row r="79" spans="1:20" ht="13.5" collapsed="1" x14ac:dyDescent="0.35">
      <c r="A79" s="83">
        <f>ROW()</f>
        <v>79</v>
      </c>
      <c r="B79" s="77" t="s">
        <v>42</v>
      </c>
      <c r="C79" s="25"/>
      <c r="D79" s="50"/>
      <c r="E79" s="63"/>
      <c r="F79" s="50"/>
      <c r="G79" s="323"/>
      <c r="H79" s="35"/>
      <c r="I79" s="311"/>
      <c r="J79" s="1150"/>
      <c r="K79" s="1153">
        <f>'Def, COC, ConvF DPK-7 '!C31</f>
        <v>-55609679.351386845</v>
      </c>
      <c r="L79" s="413"/>
      <c r="M79" s="1153">
        <f>'Def, COC, ConvF DPK-7 '!D31-M78</f>
        <v>0</v>
      </c>
      <c r="N79" s="398"/>
      <c r="O79" s="427"/>
      <c r="P79" s="398"/>
      <c r="Q79" s="427">
        <f>'Def, COC, ConvF DPK-7 '!I40-Q78</f>
        <v>0</v>
      </c>
      <c r="T79" s="134">
        <f t="shared" si="7"/>
        <v>0</v>
      </c>
    </row>
    <row r="80" spans="1:20" x14ac:dyDescent="0.3">
      <c r="A80" s="83">
        <f>ROW()</f>
        <v>80</v>
      </c>
      <c r="B80" s="77"/>
      <c r="C80" s="25"/>
      <c r="D80" s="50"/>
      <c r="E80" s="63"/>
      <c r="F80" s="50"/>
      <c r="G80" s="323"/>
      <c r="H80" s="35"/>
      <c r="I80" s="311"/>
      <c r="J80" s="1150"/>
      <c r="K80" s="1155"/>
      <c r="L80" s="413"/>
      <c r="M80" s="1155"/>
      <c r="N80" s="2"/>
      <c r="O80" s="412"/>
      <c r="P80" s="2"/>
      <c r="Q80" s="412"/>
      <c r="T80" s="134">
        <f t="shared" si="7"/>
        <v>0</v>
      </c>
    </row>
    <row r="81" spans="1:20" ht="14" thickBot="1" x14ac:dyDescent="0.4">
      <c r="A81" s="83">
        <f>ROW()</f>
        <v>81</v>
      </c>
      <c r="B81" s="77" t="s">
        <v>43</v>
      </c>
      <c r="C81" s="25"/>
      <c r="D81" s="50"/>
      <c r="E81" s="63"/>
      <c r="F81" s="50"/>
      <c r="G81" s="323"/>
      <c r="H81" s="35"/>
      <c r="I81" s="311"/>
      <c r="J81" s="1150"/>
      <c r="K81" s="1156">
        <f>K71+K79</f>
        <v>164494978.79194066</v>
      </c>
      <c r="L81" s="413"/>
      <c r="M81" s="1156">
        <f>M71+M79</f>
        <v>15018806.738353848</v>
      </c>
      <c r="N81" s="399"/>
      <c r="O81" s="428">
        <f>SUM(O76:O80)</f>
        <v>0</v>
      </c>
      <c r="P81" s="399"/>
      <c r="Q81" s="428">
        <f>SUM(Q76:Q80)</f>
        <v>0</v>
      </c>
      <c r="T81" s="134">
        <f t="shared" si="7"/>
        <v>-15018806.738353848</v>
      </c>
    </row>
    <row r="82" spans="1:20" ht="13.5" thickTop="1" x14ac:dyDescent="0.3">
      <c r="A82" s="227">
        <f>ROW()</f>
        <v>82</v>
      </c>
      <c r="B82" s="86"/>
      <c r="C82" s="33"/>
      <c r="D82" s="58"/>
      <c r="E82" s="71"/>
      <c r="F82" s="58"/>
      <c r="G82" s="20"/>
      <c r="H82" s="44"/>
      <c r="I82" s="1151"/>
      <c r="J82" s="139"/>
      <c r="K82" s="324"/>
      <c r="L82" s="139"/>
      <c r="M82" s="324"/>
      <c r="N82" s="139"/>
      <c r="O82" s="324"/>
      <c r="P82" s="139"/>
      <c r="Q82" s="324"/>
      <c r="T82" s="134">
        <f t="shared" si="7"/>
        <v>0</v>
      </c>
    </row>
    <row r="83" spans="1:20" ht="13.5" x14ac:dyDescent="0.35">
      <c r="A83" s="2"/>
      <c r="B83" s="397"/>
      <c r="T83" s="134">
        <f t="shared" si="7"/>
        <v>0</v>
      </c>
    </row>
    <row r="84" spans="1:20" x14ac:dyDescent="0.3">
      <c r="B84" s="141" t="s">
        <v>190</v>
      </c>
      <c r="C84" s="142">
        <f>'Detailed Summary'!D47-C47</f>
        <v>0</v>
      </c>
      <c r="D84" s="141"/>
      <c r="E84" s="142">
        <f>'Detailed Summary'!BC47-E47</f>
        <v>0</v>
      </c>
      <c r="F84" s="141"/>
      <c r="G84" s="142">
        <f>'Detailed Summary'!BC108-G47</f>
        <v>0</v>
      </c>
      <c r="H84" s="141"/>
      <c r="I84" s="142">
        <f>'Detailed Summary'!BC169-I47</f>
        <v>0</v>
      </c>
      <c r="J84" s="141"/>
      <c r="K84" s="142">
        <f>'Detailed Summary'!BC230-K47</f>
        <v>0</v>
      </c>
      <c r="L84" s="141"/>
      <c r="M84" s="142">
        <f>'Detailed Summary'!BC291-M47</f>
        <v>0</v>
      </c>
      <c r="N84" s="142"/>
      <c r="O84" s="142">
        <f>'Detailed Summary'!BC352-O47</f>
        <v>0</v>
      </c>
      <c r="P84" s="141"/>
      <c r="Q84" s="142"/>
    </row>
    <row r="85" spans="1:20" x14ac:dyDescent="0.3">
      <c r="B85" s="141" t="s">
        <v>191</v>
      </c>
      <c r="C85" s="142">
        <f>'Detailed Summary'!D60-C58</f>
        <v>0</v>
      </c>
      <c r="D85" s="141"/>
      <c r="E85" s="142">
        <f>'Detailed Summary'!BC60-E58</f>
        <v>0</v>
      </c>
      <c r="F85" s="141"/>
      <c r="G85" s="142">
        <f>'Detailed Summary'!BC121-G58</f>
        <v>0</v>
      </c>
      <c r="H85" s="141"/>
      <c r="I85" s="142">
        <f>'Detailed Summary'!BC182-I58</f>
        <v>0</v>
      </c>
      <c r="J85" s="141"/>
      <c r="K85" s="142">
        <f>'Detailed Summary'!BC243-K58</f>
        <v>0</v>
      </c>
      <c r="L85" s="141"/>
      <c r="M85" s="142">
        <f>'Detailed Summary'!BC304-M58</f>
        <v>0</v>
      </c>
      <c r="N85" s="142"/>
      <c r="O85" s="142">
        <f>'Detailed Summary'!BC365-O58</f>
        <v>0</v>
      </c>
      <c r="P85" s="141"/>
      <c r="Q85" s="142">
        <f>'Detailed Summary'!BC426-Q58</f>
        <v>0</v>
      </c>
    </row>
    <row r="86" spans="1:20" x14ac:dyDescent="0.3">
      <c r="B86" s="141" t="s">
        <v>912</v>
      </c>
      <c r="C86" s="142"/>
      <c r="D86" s="141"/>
      <c r="E86" s="142"/>
      <c r="F86" s="141"/>
      <c r="G86" s="142"/>
      <c r="H86" s="141"/>
      <c r="I86" s="142"/>
      <c r="J86" s="141"/>
      <c r="K86" s="142"/>
      <c r="L86" s="141"/>
      <c r="M86" s="142"/>
      <c r="N86" s="142"/>
      <c r="O86" s="142"/>
      <c r="P86" s="141"/>
      <c r="Q86" s="142"/>
    </row>
    <row r="89" spans="1:20" customFormat="1" ht="14.5" x14ac:dyDescent="0.35">
      <c r="B89" s="397"/>
      <c r="C89" s="1"/>
      <c r="D89" s="1"/>
      <c r="E89" s="1"/>
      <c r="F89" s="1"/>
    </row>
    <row r="90" spans="1:20" customFormat="1" ht="14.5" x14ac:dyDescent="0.35">
      <c r="C90" s="1"/>
      <c r="D90" s="1"/>
      <c r="E90" s="1"/>
      <c r="F90" s="1"/>
    </row>
    <row r="91" spans="1:20" customFormat="1" ht="14.5" x14ac:dyDescent="0.35">
      <c r="A91" s="3" t="s">
        <v>1933</v>
      </c>
      <c r="D91" s="108" t="s">
        <v>1938</v>
      </c>
      <c r="E91" s="109"/>
    </row>
    <row r="92" spans="1:20" customFormat="1" ht="14.5" x14ac:dyDescent="0.35">
      <c r="A92" s="3" t="s">
        <v>1930</v>
      </c>
      <c r="D92" s="1"/>
      <c r="E92" s="1"/>
    </row>
    <row r="93" spans="1:20" customFormat="1" ht="14.5" x14ac:dyDescent="0.35">
      <c r="A93" s="3" t="s">
        <v>1931</v>
      </c>
      <c r="D93" s="1"/>
      <c r="E93" s="1"/>
      <c r="F93" s="1"/>
    </row>
    <row r="94" spans="1:20" customFormat="1" ht="14.5" x14ac:dyDescent="0.35">
      <c r="A94" s="3" t="s">
        <v>1932</v>
      </c>
    </row>
    <row r="95" spans="1:20" customFormat="1" ht="14.5" x14ac:dyDescent="0.35">
      <c r="A95" s="3"/>
    </row>
    <row r="96" spans="1:20" customFormat="1" ht="14.5" x14ac:dyDescent="0.35"/>
    <row r="97" spans="1:18" customFormat="1" ht="14.5" x14ac:dyDescent="0.35">
      <c r="A97" s="128" t="s">
        <v>7</v>
      </c>
      <c r="B97" s="128" t="s">
        <v>8</v>
      </c>
      <c r="C97" s="128" t="str">
        <f>+K7</f>
        <v>AMA DEC 2025</v>
      </c>
      <c r="D97" s="128"/>
      <c r="E97" s="128" t="str">
        <f>+M7</f>
        <v>AMA DEC 2026</v>
      </c>
      <c r="F97" s="502"/>
      <c r="I97" s="1"/>
      <c r="J97" s="1"/>
      <c r="K97" s="1"/>
      <c r="L97" s="1"/>
      <c r="M97" s="1"/>
      <c r="N97" s="1"/>
      <c r="O97" s="1"/>
      <c r="P97" s="1"/>
      <c r="Q97" s="1"/>
      <c r="R97" s="1"/>
    </row>
    <row r="98" spans="1:18" customFormat="1" ht="14.5" x14ac:dyDescent="0.35">
      <c r="K98" s="1"/>
      <c r="L98" s="1"/>
      <c r="M98" s="1"/>
      <c r="N98" s="1"/>
      <c r="O98" s="1"/>
      <c r="P98" s="1"/>
      <c r="Q98" s="1"/>
      <c r="R98" s="1"/>
    </row>
    <row r="99" spans="1:18" customFormat="1" ht="14.5" x14ac:dyDescent="0.35">
      <c r="A99" s="1350">
        <v>1</v>
      </c>
      <c r="B99" s="441" t="s">
        <v>1924</v>
      </c>
      <c r="C99" s="1"/>
      <c r="D99" s="1"/>
      <c r="E99" s="1"/>
      <c r="K99" s="1"/>
      <c r="L99" s="1"/>
      <c r="M99" s="1"/>
      <c r="N99" s="1"/>
      <c r="O99" s="1"/>
      <c r="P99" s="1"/>
      <c r="Q99" s="1"/>
      <c r="R99" s="1"/>
    </row>
    <row r="100" spans="1:18" customFormat="1" ht="14.5" x14ac:dyDescent="0.35">
      <c r="A100" s="1350">
        <f t="shared" ref="A100:A115" si="23">+A99+1</f>
        <v>2</v>
      </c>
      <c r="B100" s="1351"/>
      <c r="C100" s="1"/>
      <c r="D100" s="1"/>
      <c r="E100" s="1"/>
      <c r="K100" s="1"/>
      <c r="L100" s="1"/>
      <c r="M100" s="1"/>
      <c r="N100" s="1"/>
      <c r="O100" s="1"/>
      <c r="P100" s="1"/>
      <c r="Q100" s="1"/>
      <c r="R100" s="1"/>
    </row>
    <row r="101" spans="1:18" customFormat="1" ht="14.5" x14ac:dyDescent="0.35">
      <c r="A101" s="1350">
        <f t="shared" si="23"/>
        <v>3</v>
      </c>
      <c r="B101" s="441" t="s">
        <v>1925</v>
      </c>
      <c r="C101" s="173">
        <f>+K71</f>
        <v>220104658.1433275</v>
      </c>
      <c r="E101" s="173">
        <f>+M71</f>
        <v>15018806.738353848</v>
      </c>
      <c r="K101" s="1"/>
      <c r="L101" s="1"/>
      <c r="M101" s="1"/>
      <c r="N101" s="1"/>
      <c r="O101" s="1"/>
      <c r="P101" s="1"/>
      <c r="Q101" s="1"/>
      <c r="R101" s="1"/>
    </row>
    <row r="102" spans="1:18" customFormat="1" ht="14.5" x14ac:dyDescent="0.35">
      <c r="A102" s="1350">
        <f t="shared" si="23"/>
        <v>4</v>
      </c>
      <c r="B102" s="441" t="s">
        <v>1941</v>
      </c>
      <c r="C102" s="265">
        <f>+'Def, COC, ConvF DPK-7 '!C26+'Def, COC, ConvF DPK-7 '!C27</f>
        <v>-55609679.351386845</v>
      </c>
      <c r="E102" s="265">
        <f>+'Def, COC, ConvF DPK-7 '!E31</f>
        <v>0</v>
      </c>
      <c r="K102" s="1"/>
      <c r="L102" s="1"/>
      <c r="M102" s="1"/>
      <c r="N102" s="1"/>
      <c r="O102" s="1"/>
      <c r="P102" s="1"/>
      <c r="Q102" s="1"/>
      <c r="R102" s="1"/>
    </row>
    <row r="103" spans="1:18" customFormat="1" ht="14.5" x14ac:dyDescent="0.35">
      <c r="A103" s="1350">
        <f t="shared" si="23"/>
        <v>5</v>
      </c>
      <c r="B103" s="441" t="s">
        <v>1926</v>
      </c>
      <c r="C103" s="368">
        <f>+'Def, COC, ConvF DPK-7 '!C29</f>
        <v>0</v>
      </c>
      <c r="E103" s="368"/>
      <c r="K103" s="1"/>
      <c r="L103" s="1"/>
      <c r="M103" s="1"/>
      <c r="N103" s="1"/>
      <c r="O103" s="1"/>
      <c r="P103" s="1"/>
      <c r="Q103" s="1"/>
      <c r="R103" s="1"/>
    </row>
    <row r="104" spans="1:18" customFormat="1" ht="15" thickBot="1" x14ac:dyDescent="0.4">
      <c r="A104" s="1350">
        <f t="shared" si="23"/>
        <v>6</v>
      </c>
      <c r="B104" s="441" t="s">
        <v>1927</v>
      </c>
      <c r="C104" s="494">
        <f>+SUM(C101:C103)</f>
        <v>164494978.79194066</v>
      </c>
      <c r="E104" s="494">
        <f>+SUM(E101:E103)</f>
        <v>15018806.738353848</v>
      </c>
      <c r="K104" s="1"/>
      <c r="L104" s="1"/>
      <c r="M104" s="1"/>
      <c r="N104" s="1"/>
      <c r="O104" s="1"/>
      <c r="P104" s="1"/>
      <c r="Q104" s="1"/>
      <c r="R104" s="1"/>
    </row>
    <row r="105" spans="1:18" customFormat="1" ht="15" thickTop="1" x14ac:dyDescent="0.35">
      <c r="A105" s="1350">
        <f t="shared" si="23"/>
        <v>7</v>
      </c>
      <c r="B105" s="441"/>
      <c r="C105" s="329"/>
      <c r="E105" s="329"/>
      <c r="K105" s="1"/>
      <c r="L105" s="1"/>
      <c r="M105" s="1"/>
      <c r="N105" s="1"/>
      <c r="O105" s="1"/>
      <c r="P105" s="1"/>
      <c r="Q105" s="1"/>
      <c r="R105" s="1"/>
    </row>
    <row r="106" spans="1:18" customFormat="1" ht="14.5" x14ac:dyDescent="0.35">
      <c r="A106" s="1350">
        <f t="shared" si="23"/>
        <v>8</v>
      </c>
      <c r="B106" s="441"/>
      <c r="C106" s="329"/>
      <c r="E106" s="329"/>
      <c r="K106" s="1"/>
      <c r="L106" s="1"/>
      <c r="M106" s="1"/>
      <c r="N106" s="1"/>
      <c r="O106" s="1"/>
      <c r="P106" s="1"/>
      <c r="Q106" s="1"/>
      <c r="R106" s="1"/>
    </row>
    <row r="107" spans="1:18" customFormat="1" ht="14.5" x14ac:dyDescent="0.35">
      <c r="A107" s="1350">
        <f t="shared" si="23"/>
        <v>9</v>
      </c>
      <c r="B107" s="441" t="s">
        <v>1928</v>
      </c>
      <c r="C107" s="329"/>
      <c r="E107" s="329"/>
      <c r="K107" s="1"/>
      <c r="L107" s="1"/>
      <c r="M107" s="1"/>
      <c r="N107" s="1"/>
      <c r="O107" s="1"/>
      <c r="P107" s="1"/>
      <c r="Q107" s="1"/>
      <c r="R107" s="1"/>
    </row>
    <row r="108" spans="1:18" customFormat="1" ht="14.5" x14ac:dyDescent="0.35">
      <c r="A108" s="1350">
        <f t="shared" si="23"/>
        <v>10</v>
      </c>
      <c r="B108" s="441"/>
      <c r="C108" s="344" t="s">
        <v>311</v>
      </c>
      <c r="E108" s="344" t="s">
        <v>311</v>
      </c>
      <c r="K108" s="1"/>
      <c r="L108" s="1"/>
      <c r="M108" s="1"/>
      <c r="N108" s="1"/>
      <c r="O108" s="1"/>
      <c r="P108" s="1"/>
      <c r="Q108" s="1"/>
      <c r="R108" s="1"/>
    </row>
    <row r="109" spans="1:18" customFormat="1" ht="14.5" x14ac:dyDescent="0.35">
      <c r="A109" s="1350">
        <f t="shared" si="23"/>
        <v>11</v>
      </c>
      <c r="B109" s="1352" t="s">
        <v>1925</v>
      </c>
      <c r="C109" s="1349">
        <v>247614954</v>
      </c>
      <c r="E109" s="173">
        <v>25350286</v>
      </c>
      <c r="K109" s="1"/>
      <c r="L109" s="1"/>
      <c r="M109" s="1"/>
      <c r="N109" s="1"/>
      <c r="O109" s="1"/>
      <c r="P109" s="1"/>
      <c r="Q109" s="1"/>
      <c r="R109" s="1"/>
    </row>
    <row r="110" spans="1:18" customFormat="1" ht="14.5" x14ac:dyDescent="0.35">
      <c r="A110" s="1350">
        <f t="shared" si="23"/>
        <v>12</v>
      </c>
      <c r="B110" s="441" t="s">
        <v>1941</v>
      </c>
      <c r="C110" s="1349">
        <f>-59540833+3931154</f>
        <v>-55609679</v>
      </c>
      <c r="E110" s="1349"/>
      <c r="K110" s="1"/>
      <c r="L110" s="1"/>
      <c r="M110" s="1"/>
      <c r="N110" s="1"/>
      <c r="O110" s="1"/>
      <c r="P110" s="1"/>
      <c r="Q110" s="1"/>
      <c r="R110" s="1"/>
    </row>
    <row r="111" spans="1:18" customFormat="1" ht="14.5" x14ac:dyDescent="0.35">
      <c r="A111" s="1350">
        <f t="shared" si="23"/>
        <v>13</v>
      </c>
      <c r="B111" s="1352" t="s">
        <v>1926</v>
      </c>
      <c r="C111" s="1349">
        <v>4035116</v>
      </c>
      <c r="E111" s="1349"/>
      <c r="K111" s="1"/>
      <c r="L111" s="1"/>
      <c r="M111" s="1"/>
      <c r="N111" s="1"/>
      <c r="O111" s="1"/>
      <c r="P111" s="1"/>
      <c r="Q111" s="1"/>
      <c r="R111" s="1"/>
    </row>
    <row r="112" spans="1:18" customFormat="1" ht="15" thickBot="1" x14ac:dyDescent="0.4">
      <c r="A112" s="1350">
        <f t="shared" si="23"/>
        <v>14</v>
      </c>
      <c r="B112" s="1352" t="s">
        <v>1927</v>
      </c>
      <c r="C112" s="519">
        <f>SUM(C109:C111)</f>
        <v>196040391</v>
      </c>
      <c r="E112" s="519">
        <f>SUM(E109:E111)</f>
        <v>25350286</v>
      </c>
      <c r="K112" s="1"/>
      <c r="L112" s="1"/>
      <c r="M112" s="1"/>
      <c r="N112" s="1"/>
      <c r="O112" s="1"/>
      <c r="P112" s="1"/>
      <c r="Q112" s="1"/>
      <c r="R112" s="1"/>
    </row>
    <row r="113" spans="1:18" customFormat="1" ht="15" thickTop="1" x14ac:dyDescent="0.35">
      <c r="A113" s="1350">
        <f t="shared" si="23"/>
        <v>15</v>
      </c>
      <c r="B113" s="1352"/>
      <c r="C113" s="341"/>
      <c r="E113" s="341"/>
      <c r="K113" s="1"/>
      <c r="L113" s="1"/>
      <c r="M113" s="1"/>
      <c r="N113" s="1"/>
      <c r="O113" s="1"/>
      <c r="P113" s="1"/>
      <c r="Q113" s="1"/>
      <c r="R113" s="1"/>
    </row>
    <row r="114" spans="1:18" customFormat="1" ht="14.5" x14ac:dyDescent="0.35">
      <c r="A114" s="1350">
        <f t="shared" si="23"/>
        <v>16</v>
      </c>
      <c r="B114" s="1352" t="s">
        <v>189</v>
      </c>
      <c r="C114" s="341"/>
      <c r="E114" s="341"/>
      <c r="K114" s="1"/>
      <c r="L114" s="1"/>
      <c r="M114" s="1"/>
      <c r="N114" s="1"/>
      <c r="O114" s="1"/>
      <c r="P114" s="1"/>
      <c r="Q114" s="1"/>
      <c r="R114" s="1"/>
    </row>
    <row r="115" spans="1:18" customFormat="1" ht="14.5" x14ac:dyDescent="0.35">
      <c r="A115" s="1350">
        <f t="shared" si="23"/>
        <v>17</v>
      </c>
      <c r="B115" s="1352" t="s">
        <v>1925</v>
      </c>
      <c r="C115" s="173">
        <f>+C101-C109</f>
        <v>-27510295.856672496</v>
      </c>
      <c r="E115" s="173">
        <f>+E101-E109</f>
        <v>-10331479.261646152</v>
      </c>
      <c r="K115" s="1"/>
      <c r="L115" s="1"/>
      <c r="M115" s="1"/>
      <c r="N115" s="1"/>
      <c r="O115" s="1"/>
      <c r="P115" s="1"/>
      <c r="Q115" s="1"/>
      <c r="R115" s="1"/>
    </row>
    <row r="116" spans="1:18" customFormat="1" ht="14.5" x14ac:dyDescent="0.35">
      <c r="A116" s="1350">
        <f t="shared" ref="A116:A122" si="24">+A115+1</f>
        <v>18</v>
      </c>
      <c r="B116" s="441" t="s">
        <v>1941</v>
      </c>
      <c r="C116" s="1349">
        <f t="shared" ref="C116:E117" si="25">+C102-C110</f>
        <v>-0.35138684511184692</v>
      </c>
      <c r="E116" s="1349">
        <f t="shared" si="25"/>
        <v>0</v>
      </c>
      <c r="K116" s="1"/>
      <c r="L116" s="1"/>
      <c r="M116" s="1"/>
      <c r="N116" s="1"/>
      <c r="O116" s="1"/>
      <c r="P116" s="1"/>
      <c r="Q116" s="1"/>
      <c r="R116" s="1"/>
    </row>
    <row r="117" spans="1:18" customFormat="1" ht="14.5" x14ac:dyDescent="0.35">
      <c r="A117" s="1350">
        <f t="shared" si="24"/>
        <v>19</v>
      </c>
      <c r="B117" s="1352" t="s">
        <v>1926</v>
      </c>
      <c r="C117" s="1349">
        <f t="shared" si="25"/>
        <v>-4035116</v>
      </c>
      <c r="E117" s="1349">
        <f t="shared" si="25"/>
        <v>0</v>
      </c>
      <c r="K117" s="1"/>
      <c r="L117" s="1"/>
      <c r="M117" s="1"/>
      <c r="N117" s="1"/>
      <c r="O117" s="1"/>
      <c r="P117" s="1"/>
      <c r="Q117" s="1"/>
      <c r="R117" s="1"/>
    </row>
    <row r="118" spans="1:18" customFormat="1" ht="15" thickBot="1" x14ac:dyDescent="0.4">
      <c r="A118" s="1350">
        <f t="shared" si="24"/>
        <v>20</v>
      </c>
      <c r="B118" s="1352" t="s">
        <v>1927</v>
      </c>
      <c r="C118" s="519">
        <f>SUM(C115:C117)</f>
        <v>-31545412.208059341</v>
      </c>
      <c r="E118" s="519">
        <f>SUM(E115:E117)</f>
        <v>-10331479.261646152</v>
      </c>
      <c r="K118" s="1"/>
    </row>
    <row r="119" spans="1:18" customFormat="1" ht="15" thickTop="1" x14ac:dyDescent="0.35">
      <c r="A119" s="1350">
        <f t="shared" si="24"/>
        <v>21</v>
      </c>
    </row>
    <row r="120" spans="1:18" customFormat="1" ht="14.5" x14ac:dyDescent="0.35">
      <c r="A120" s="1350">
        <f t="shared" si="24"/>
        <v>22</v>
      </c>
    </row>
    <row r="121" spans="1:18" customFormat="1" ht="14.5" x14ac:dyDescent="0.35">
      <c r="A121" s="1350">
        <f t="shared" si="24"/>
        <v>23</v>
      </c>
    </row>
    <row r="122" spans="1:18" customFormat="1" ht="14.5" x14ac:dyDescent="0.35">
      <c r="A122" s="1350">
        <f t="shared" si="24"/>
        <v>24</v>
      </c>
    </row>
    <row r="123" spans="1:18" customFormat="1" ht="14.5" x14ac:dyDescent="0.35"/>
    <row r="124" spans="1:18" customFormat="1" ht="14.5" x14ac:dyDescent="0.35"/>
    <row r="125" spans="1:18" customFormat="1" ht="14.5" x14ac:dyDescent="0.35"/>
    <row r="126" spans="1:18" customFormat="1" ht="14.5" x14ac:dyDescent="0.35"/>
    <row r="127" spans="1:18" customFormat="1" ht="14.5" x14ac:dyDescent="0.35"/>
    <row r="128" spans="1:1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4.5" x14ac:dyDescent="0.35"/>
    <row r="136" customFormat="1" ht="14.5" x14ac:dyDescent="0.35"/>
    <row r="137" customFormat="1" ht="14.5" x14ac:dyDescent="0.35"/>
    <row r="138" customFormat="1" ht="14.5" x14ac:dyDescent="0.35"/>
    <row r="139" customFormat="1" ht="14.5" x14ac:dyDescent="0.35"/>
    <row r="140" customFormat="1" ht="14.5" x14ac:dyDescent="0.35"/>
    <row r="141" customFormat="1" ht="14.5" x14ac:dyDescent="0.35"/>
    <row r="142" customFormat="1" ht="14.5" x14ac:dyDescent="0.35"/>
    <row r="143" customFormat="1" ht="14.5" x14ac:dyDescent="0.35"/>
    <row r="144" customFormat="1" ht="14.5" x14ac:dyDescent="0.35"/>
    <row r="145" customFormat="1" ht="14.5" x14ac:dyDescent="0.35"/>
    <row r="146" customFormat="1" ht="14.5" x14ac:dyDescent="0.35"/>
    <row r="147" customFormat="1" ht="14.5" x14ac:dyDescent="0.35"/>
    <row r="148" customFormat="1" ht="14.5" x14ac:dyDescent="0.35"/>
    <row r="149" customFormat="1" ht="14.5" x14ac:dyDescent="0.35"/>
    <row r="150" customFormat="1" ht="14.5" x14ac:dyDescent="0.35"/>
    <row r="151" customFormat="1" ht="14.5" x14ac:dyDescent="0.35"/>
    <row r="152" customFormat="1" ht="14.5" x14ac:dyDescent="0.35"/>
    <row r="153" customFormat="1" ht="14.5" x14ac:dyDescent="0.35"/>
    <row r="154" customFormat="1" ht="14.5" x14ac:dyDescent="0.35"/>
    <row r="155" customFormat="1" ht="14.5" x14ac:dyDescent="0.35"/>
    <row r="156" customFormat="1" ht="14.5" x14ac:dyDescent="0.35"/>
    <row r="157" customFormat="1" ht="14.5" x14ac:dyDescent="0.35"/>
    <row r="158" customFormat="1" ht="14.5" x14ac:dyDescent="0.35"/>
    <row r="159" customFormat="1" ht="14.5" x14ac:dyDescent="0.35"/>
    <row r="160" customFormat="1" ht="14.5" x14ac:dyDescent="0.35"/>
    <row r="161" customFormat="1" ht="14.5" x14ac:dyDescent="0.35"/>
    <row r="162" customFormat="1" ht="14.5" x14ac:dyDescent="0.35"/>
    <row r="163" customFormat="1" ht="14.5" x14ac:dyDescent="0.35"/>
    <row r="164" customFormat="1" ht="14.5" x14ac:dyDescent="0.35"/>
    <row r="165" customFormat="1" ht="14.5" x14ac:dyDescent="0.35"/>
    <row r="166" customFormat="1" ht="14.5" x14ac:dyDescent="0.35"/>
    <row r="167" customFormat="1" ht="14.5" x14ac:dyDescent="0.35"/>
    <row r="168" customFormat="1" ht="14.5" x14ac:dyDescent="0.35"/>
    <row r="169" customFormat="1" ht="14.5" x14ac:dyDescent="0.35"/>
    <row r="170" customFormat="1" ht="14.5" x14ac:dyDescent="0.35"/>
    <row r="171" customFormat="1" ht="14.5" x14ac:dyDescent="0.35"/>
    <row r="172" customFormat="1" ht="14.5" x14ac:dyDescent="0.35"/>
    <row r="173" customFormat="1" ht="14.5" x14ac:dyDescent="0.35"/>
    <row r="174" customFormat="1" ht="14.5" x14ac:dyDescent="0.35"/>
    <row r="175" customFormat="1" ht="14.5" x14ac:dyDescent="0.35"/>
    <row r="176" customFormat="1" ht="14.5" x14ac:dyDescent="0.35"/>
    <row r="177" customFormat="1" ht="14.5" x14ac:dyDescent="0.35"/>
    <row r="178" customFormat="1" ht="14.5" x14ac:dyDescent="0.35"/>
    <row r="179" customFormat="1" ht="14.5" x14ac:dyDescent="0.35"/>
    <row r="180" customFormat="1" ht="14.5" x14ac:dyDescent="0.35"/>
    <row r="181" customFormat="1" ht="14.5" x14ac:dyDescent="0.35"/>
    <row r="182" customFormat="1" ht="14.5" x14ac:dyDescent="0.35"/>
    <row r="183" customFormat="1" ht="14.5" x14ac:dyDescent="0.35"/>
    <row r="184" customFormat="1" ht="14.5" x14ac:dyDescent="0.35"/>
    <row r="185" customFormat="1" ht="14.5" x14ac:dyDescent="0.35"/>
    <row r="186" customFormat="1" ht="14.5" x14ac:dyDescent="0.35"/>
    <row r="187" customFormat="1" ht="14.5" x14ac:dyDescent="0.35"/>
    <row r="188" customFormat="1" ht="14.5" x14ac:dyDescent="0.35"/>
    <row r="189" customFormat="1" ht="14.5" x14ac:dyDescent="0.35"/>
    <row r="190" customFormat="1" ht="14.5" x14ac:dyDescent="0.35"/>
    <row r="191" customFormat="1" ht="14.5" x14ac:dyDescent="0.35"/>
    <row r="192" customFormat="1" ht="14.5" x14ac:dyDescent="0.35"/>
    <row r="193" customFormat="1" ht="14.5" x14ac:dyDescent="0.35"/>
    <row r="194" customFormat="1" ht="14.5" x14ac:dyDescent="0.35"/>
    <row r="195" customFormat="1" ht="14.5" x14ac:dyDescent="0.35"/>
    <row r="196" customFormat="1" ht="14.5" x14ac:dyDescent="0.35"/>
    <row r="197" customFormat="1" ht="14.5" x14ac:dyDescent="0.35"/>
    <row r="198" customFormat="1" ht="14.5" x14ac:dyDescent="0.35"/>
    <row r="199" customFormat="1" ht="14.5" x14ac:dyDescent="0.35"/>
    <row r="200" customFormat="1" ht="14.5" x14ac:dyDescent="0.35"/>
    <row r="201" customFormat="1" ht="14.5" x14ac:dyDescent="0.35"/>
    <row r="202" customFormat="1" ht="14.5" x14ac:dyDescent="0.35"/>
    <row r="203" customFormat="1" ht="14.5" x14ac:dyDescent="0.35"/>
    <row r="204" customFormat="1" ht="14.5" x14ac:dyDescent="0.35"/>
    <row r="205" customFormat="1" ht="14.5" x14ac:dyDescent="0.35"/>
    <row r="206" customFormat="1" ht="14.5" x14ac:dyDescent="0.35"/>
    <row r="207" customFormat="1" ht="14.5" x14ac:dyDescent="0.35"/>
    <row r="208" customFormat="1" ht="14.5" x14ac:dyDescent="0.35"/>
    <row r="209" customFormat="1" ht="14.5" x14ac:dyDescent="0.35"/>
    <row r="210" customFormat="1" ht="14.5" x14ac:dyDescent="0.35"/>
    <row r="211" customFormat="1" ht="14.5" x14ac:dyDescent="0.35"/>
    <row r="212" customFormat="1" ht="14.5" x14ac:dyDescent="0.35"/>
    <row r="213" customFormat="1" ht="14.5" x14ac:dyDescent="0.35"/>
    <row r="214" customFormat="1" ht="14.5" x14ac:dyDescent="0.35"/>
    <row r="215" customFormat="1" ht="14.5" x14ac:dyDescent="0.35"/>
    <row r="216" customFormat="1" ht="14.5" x14ac:dyDescent="0.35"/>
    <row r="217" customFormat="1" ht="14.5" x14ac:dyDescent="0.35"/>
    <row r="218" customFormat="1" ht="14.5" x14ac:dyDescent="0.35"/>
    <row r="219" customFormat="1" ht="14.5" x14ac:dyDescent="0.35"/>
    <row r="220" customFormat="1" ht="14.5" x14ac:dyDescent="0.35"/>
    <row r="221" customFormat="1" ht="14.5" x14ac:dyDescent="0.35"/>
    <row r="222" customFormat="1" ht="14.5" x14ac:dyDescent="0.35"/>
    <row r="223" customFormat="1" ht="14.5" x14ac:dyDescent="0.35"/>
    <row r="224" customFormat="1" ht="14.5" x14ac:dyDescent="0.35"/>
    <row r="225" customFormat="1" ht="14.5" x14ac:dyDescent="0.35"/>
    <row r="226" customFormat="1" ht="14.5" x14ac:dyDescent="0.35"/>
    <row r="227" customFormat="1" ht="14.5" x14ac:dyDescent="0.35"/>
    <row r="228" customFormat="1" ht="14.5" x14ac:dyDescent="0.35"/>
    <row r="229" customFormat="1" ht="14.5" x14ac:dyDescent="0.35"/>
    <row r="230" customFormat="1" ht="14.5" x14ac:dyDescent="0.35"/>
    <row r="231" customFormat="1" ht="14.5" x14ac:dyDescent="0.35"/>
    <row r="232" customFormat="1" ht="14.5" x14ac:dyDescent="0.35"/>
    <row r="233" customFormat="1" ht="14.5" x14ac:dyDescent="0.35"/>
    <row r="234" customFormat="1" ht="14.5" x14ac:dyDescent="0.35"/>
    <row r="235" customFormat="1" ht="14.5" x14ac:dyDescent="0.35"/>
    <row r="236" customFormat="1" ht="14.5" x14ac:dyDescent="0.35"/>
    <row r="237" customFormat="1" ht="14.5" x14ac:dyDescent="0.35"/>
    <row r="238" customFormat="1" ht="14.5" x14ac:dyDescent="0.35"/>
    <row r="239" customFormat="1" ht="14.5" x14ac:dyDescent="0.35"/>
    <row r="240" customFormat="1" ht="14.5" x14ac:dyDescent="0.35"/>
    <row r="241" customFormat="1" ht="14.5" x14ac:dyDescent="0.35"/>
    <row r="242" customFormat="1" ht="14.5" x14ac:dyDescent="0.35"/>
    <row r="243" customFormat="1" ht="14.5" x14ac:dyDescent="0.35"/>
    <row r="244" customFormat="1" ht="14.5" x14ac:dyDescent="0.35"/>
    <row r="245" customFormat="1" ht="14.5" x14ac:dyDescent="0.35"/>
    <row r="246" customFormat="1" ht="14.5" x14ac:dyDescent="0.35"/>
    <row r="247" customFormat="1" ht="14.5" x14ac:dyDescent="0.35"/>
    <row r="248" customFormat="1" ht="14.5" x14ac:dyDescent="0.35"/>
    <row r="249" customFormat="1" ht="14.5" x14ac:dyDescent="0.35"/>
    <row r="250" customFormat="1" ht="14.5" x14ac:dyDescent="0.35"/>
    <row r="251" customFormat="1" ht="14.5" x14ac:dyDescent="0.35"/>
    <row r="252" customFormat="1" ht="14.5" x14ac:dyDescent="0.35"/>
    <row r="253" customFormat="1" ht="14.5" x14ac:dyDescent="0.35"/>
    <row r="254" customFormat="1" ht="14.5" x14ac:dyDescent="0.35"/>
    <row r="255" customFormat="1" ht="14.5" x14ac:dyDescent="0.35"/>
    <row r="256" customFormat="1" ht="14.5" x14ac:dyDescent="0.35"/>
    <row r="257" customFormat="1" ht="14.5" x14ac:dyDescent="0.35"/>
    <row r="258" customFormat="1" ht="14.5" x14ac:dyDescent="0.35"/>
    <row r="259" customFormat="1" ht="14.5" x14ac:dyDescent="0.35"/>
    <row r="260" customFormat="1" ht="14.5" x14ac:dyDescent="0.35"/>
    <row r="261" customFormat="1" ht="14.5" x14ac:dyDescent="0.35"/>
    <row r="262" customFormat="1" ht="14.5" x14ac:dyDescent="0.35"/>
    <row r="263" customFormat="1" ht="14.5" x14ac:dyDescent="0.35"/>
    <row r="264" customFormat="1" ht="14.5" x14ac:dyDescent="0.35"/>
    <row r="265" customFormat="1" ht="14.5" x14ac:dyDescent="0.35"/>
    <row r="266" customFormat="1" ht="14.5" x14ac:dyDescent="0.35"/>
    <row r="267" customFormat="1" ht="14.5" x14ac:dyDescent="0.35"/>
    <row r="268" customFormat="1" ht="14.5" x14ac:dyDescent="0.35"/>
    <row r="269" customFormat="1" ht="14.5" x14ac:dyDescent="0.35"/>
    <row r="270" customFormat="1" ht="14.5" x14ac:dyDescent="0.35"/>
    <row r="271" customFormat="1" ht="14.5" x14ac:dyDescent="0.35"/>
    <row r="272" customFormat="1" ht="14.5" x14ac:dyDescent="0.35"/>
    <row r="273" customFormat="1" ht="14.5" x14ac:dyDescent="0.35"/>
    <row r="274" customFormat="1" ht="14.5" x14ac:dyDescent="0.35"/>
    <row r="275" customFormat="1" ht="14.5" x14ac:dyDescent="0.35"/>
    <row r="276" customFormat="1" ht="14.5" x14ac:dyDescent="0.35"/>
    <row r="277" customFormat="1" ht="14.5" x14ac:dyDescent="0.35"/>
    <row r="278" customFormat="1" ht="14.5" x14ac:dyDescent="0.35"/>
    <row r="279" customFormat="1" ht="14.5" x14ac:dyDescent="0.35"/>
    <row r="280" customFormat="1" ht="14.5" x14ac:dyDescent="0.35"/>
    <row r="281" customFormat="1" ht="14.5" x14ac:dyDescent="0.35"/>
    <row r="282" customFormat="1" ht="14.5" x14ac:dyDescent="0.35"/>
    <row r="283" customFormat="1" ht="14.5" x14ac:dyDescent="0.35"/>
    <row r="284" customFormat="1" ht="14.5" x14ac:dyDescent="0.35"/>
    <row r="285" customFormat="1" ht="14.5" x14ac:dyDescent="0.35"/>
    <row r="286" customFormat="1" ht="14.5" x14ac:dyDescent="0.35"/>
    <row r="287" customFormat="1" ht="14.5" x14ac:dyDescent="0.35"/>
    <row r="288" customFormat="1" ht="14.5" x14ac:dyDescent="0.35"/>
    <row r="289" customFormat="1" ht="14.5" x14ac:dyDescent="0.35"/>
    <row r="290" customFormat="1" ht="14.5" x14ac:dyDescent="0.35"/>
    <row r="291" customFormat="1" ht="14.5" x14ac:dyDescent="0.35"/>
    <row r="292" customFormat="1" ht="14.5" x14ac:dyDescent="0.35"/>
    <row r="293" customFormat="1" ht="14.5" x14ac:dyDescent="0.35"/>
    <row r="294" customFormat="1" ht="14.5" x14ac:dyDescent="0.35"/>
    <row r="295" customFormat="1" ht="14.5" x14ac:dyDescent="0.35"/>
    <row r="296" customFormat="1" ht="14.5" x14ac:dyDescent="0.35"/>
    <row r="297" customFormat="1" ht="14.5" x14ac:dyDescent="0.35"/>
    <row r="298" customFormat="1" ht="14.5" x14ac:dyDescent="0.35"/>
    <row r="299" customFormat="1" ht="14.5" x14ac:dyDescent="0.35"/>
    <row r="300" customFormat="1" ht="14.5" x14ac:dyDescent="0.35"/>
    <row r="301" customFormat="1" ht="14.5" x14ac:dyDescent="0.35"/>
    <row r="302" customFormat="1" ht="14.5" x14ac:dyDescent="0.35"/>
    <row r="303" customFormat="1" ht="14.5" x14ac:dyDescent="0.35"/>
    <row r="304" customFormat="1" ht="14.5" x14ac:dyDescent="0.35"/>
    <row r="305" customFormat="1" ht="14.5" x14ac:dyDescent="0.35"/>
    <row r="306" customFormat="1" ht="14.5" x14ac:dyDescent="0.35"/>
    <row r="307" customFormat="1" ht="14.5" x14ac:dyDescent="0.35"/>
    <row r="308" customFormat="1" ht="14.5" x14ac:dyDescent="0.35"/>
    <row r="309" customFormat="1" ht="14.5" x14ac:dyDescent="0.35"/>
    <row r="310" customFormat="1" ht="14.5" x14ac:dyDescent="0.35"/>
    <row r="311" customFormat="1" ht="14.5" x14ac:dyDescent="0.35"/>
    <row r="312" customFormat="1" ht="14.5" x14ac:dyDescent="0.35"/>
    <row r="313" customFormat="1" ht="14.5" x14ac:dyDescent="0.35"/>
    <row r="314" customFormat="1" ht="14.5" x14ac:dyDescent="0.35"/>
    <row r="315" customFormat="1" ht="14.5" x14ac:dyDescent="0.35"/>
    <row r="316" customFormat="1" ht="14.5" x14ac:dyDescent="0.35"/>
    <row r="317" customFormat="1" ht="14.5" x14ac:dyDescent="0.35"/>
    <row r="318" customFormat="1" ht="14.5" x14ac:dyDescent="0.35"/>
    <row r="319" customFormat="1" ht="14.5" x14ac:dyDescent="0.35"/>
    <row r="320" customFormat="1" ht="14.5" x14ac:dyDescent="0.35"/>
    <row r="321" customFormat="1" ht="14.5" x14ac:dyDescent="0.35"/>
    <row r="322" customFormat="1" ht="14.5" x14ac:dyDescent="0.35"/>
    <row r="323" customFormat="1" ht="14.5" x14ac:dyDescent="0.35"/>
    <row r="324" customFormat="1" ht="14.5" x14ac:dyDescent="0.35"/>
    <row r="325" customFormat="1" ht="14.5" x14ac:dyDescent="0.35"/>
    <row r="326" customFormat="1" ht="14.5" x14ac:dyDescent="0.35"/>
    <row r="327" customFormat="1" ht="14.5" x14ac:dyDescent="0.35"/>
    <row r="328" customFormat="1" ht="14.5" x14ac:dyDescent="0.35"/>
    <row r="329" customFormat="1" ht="14.5" x14ac:dyDescent="0.35"/>
    <row r="330" customFormat="1" ht="14.5" x14ac:dyDescent="0.35"/>
    <row r="331" customFormat="1" ht="14.5" x14ac:dyDescent="0.35"/>
    <row r="332" customFormat="1" ht="14.5" x14ac:dyDescent="0.35"/>
    <row r="333" customFormat="1" ht="14.5" x14ac:dyDescent="0.35"/>
    <row r="334" customFormat="1" ht="14.5" x14ac:dyDescent="0.35"/>
    <row r="335" customFormat="1" ht="14.5" x14ac:dyDescent="0.35"/>
    <row r="336" customFormat="1" ht="14.5" x14ac:dyDescent="0.35"/>
    <row r="337" customFormat="1" ht="14.5" x14ac:dyDescent="0.35"/>
    <row r="338" customFormat="1" ht="14.5" x14ac:dyDescent="0.35"/>
    <row r="339" customFormat="1" ht="14.5" x14ac:dyDescent="0.35"/>
    <row r="340" customFormat="1" ht="14.5" x14ac:dyDescent="0.35"/>
    <row r="341" customFormat="1" ht="14.5" x14ac:dyDescent="0.35"/>
    <row r="342" customFormat="1" ht="14.5" x14ac:dyDescent="0.35"/>
    <row r="343" customFormat="1" ht="14.5" x14ac:dyDescent="0.35"/>
    <row r="344" customFormat="1" ht="14.5" x14ac:dyDescent="0.35"/>
    <row r="345" customFormat="1" ht="14.5" x14ac:dyDescent="0.35"/>
    <row r="346" customFormat="1" ht="14.5" x14ac:dyDescent="0.35"/>
    <row r="347" customFormat="1" ht="14.5" x14ac:dyDescent="0.35"/>
    <row r="348" customFormat="1" ht="14.5" x14ac:dyDescent="0.35"/>
    <row r="349" customFormat="1" ht="14.5" x14ac:dyDescent="0.35"/>
    <row r="350" customFormat="1" ht="14.5" x14ac:dyDescent="0.35"/>
    <row r="351" customFormat="1" ht="14.5" x14ac:dyDescent="0.35"/>
    <row r="352" customFormat="1" ht="14.5" x14ac:dyDescent="0.35"/>
    <row r="353" customFormat="1" ht="14.5" x14ac:dyDescent="0.35"/>
    <row r="354" customFormat="1" ht="14.5" x14ac:dyDescent="0.35"/>
    <row r="355" customFormat="1" ht="14.5" x14ac:dyDescent="0.35"/>
    <row r="356" customFormat="1" ht="14.5" x14ac:dyDescent="0.35"/>
    <row r="357" customFormat="1" ht="14.5" x14ac:dyDescent="0.35"/>
    <row r="358" customFormat="1" ht="14.5" x14ac:dyDescent="0.35"/>
    <row r="359" customFormat="1" ht="14.5" x14ac:dyDescent="0.35"/>
    <row r="360" customFormat="1" ht="14.5" x14ac:dyDescent="0.35"/>
    <row r="361" customFormat="1" ht="14.5" x14ac:dyDescent="0.35"/>
    <row r="362" customFormat="1" ht="14.5" x14ac:dyDescent="0.35"/>
    <row r="363" customFormat="1" ht="14.5" x14ac:dyDescent="0.35"/>
    <row r="364" customFormat="1" ht="14.5" x14ac:dyDescent="0.35"/>
    <row r="365" customFormat="1" ht="14.5" x14ac:dyDescent="0.35"/>
    <row r="366" customFormat="1" ht="14.5" x14ac:dyDescent="0.35"/>
    <row r="367" customFormat="1" ht="14.5" x14ac:dyDescent="0.35"/>
    <row r="368" customFormat="1" ht="14.5" x14ac:dyDescent="0.35"/>
    <row r="369" customFormat="1" ht="14.5" x14ac:dyDescent="0.35"/>
    <row r="370" customFormat="1" ht="14.5" x14ac:dyDescent="0.35"/>
    <row r="371" customFormat="1" ht="14.5" x14ac:dyDescent="0.35"/>
    <row r="372" customFormat="1" ht="14.5" x14ac:dyDescent="0.35"/>
    <row r="373" customFormat="1" ht="14.5" x14ac:dyDescent="0.35"/>
    <row r="374" customFormat="1" ht="14.5" x14ac:dyDescent="0.35"/>
    <row r="375" customFormat="1" ht="14.5" x14ac:dyDescent="0.35"/>
    <row r="376" customFormat="1" ht="14.5" x14ac:dyDescent="0.35"/>
    <row r="377" customFormat="1" ht="14.5" x14ac:dyDescent="0.35"/>
    <row r="378" customFormat="1" ht="14.5" x14ac:dyDescent="0.35"/>
    <row r="379" customFormat="1" ht="14.5" x14ac:dyDescent="0.35"/>
    <row r="380" customFormat="1" ht="14.5" x14ac:dyDescent="0.35"/>
    <row r="381" customFormat="1" ht="14.5" x14ac:dyDescent="0.35"/>
    <row r="382" customFormat="1" ht="14.5" x14ac:dyDescent="0.35"/>
    <row r="383" customFormat="1" ht="14.5" x14ac:dyDescent="0.35"/>
    <row r="384" customFormat="1" ht="14.5" x14ac:dyDescent="0.35"/>
    <row r="385" customFormat="1" ht="14.5" x14ac:dyDescent="0.35"/>
    <row r="386" customFormat="1" ht="14.5" x14ac:dyDescent="0.35"/>
    <row r="387" customFormat="1" ht="14.5" x14ac:dyDescent="0.35"/>
    <row r="388" customFormat="1" ht="14.5" x14ac:dyDescent="0.35"/>
    <row r="389" customFormat="1" ht="14.5" x14ac:dyDescent="0.35"/>
    <row r="390" customFormat="1" ht="14.5" x14ac:dyDescent="0.35"/>
    <row r="391" customFormat="1" ht="14.5" x14ac:dyDescent="0.35"/>
    <row r="392" customFormat="1" ht="14.5" x14ac:dyDescent="0.35"/>
    <row r="393" customFormat="1" ht="14.5" x14ac:dyDescent="0.35"/>
    <row r="394" customFormat="1" ht="14.5" x14ac:dyDescent="0.35"/>
    <row r="395" customFormat="1" ht="14.5" x14ac:dyDescent="0.35"/>
    <row r="396" customFormat="1" ht="14.5" x14ac:dyDescent="0.35"/>
    <row r="397" customFormat="1" ht="14.5" x14ac:dyDescent="0.35"/>
    <row r="398" customFormat="1" ht="14.5" x14ac:dyDescent="0.35"/>
  </sheetData>
  <conditionalFormatting sqref="B100">
    <cfRule type="cellIs" dxfId="121" priority="1" operator="notEqual">
      <formula>0</formula>
    </cfRule>
  </conditionalFormatting>
  <conditionalFormatting sqref="C84:C86">
    <cfRule type="cellIs" dxfId="120" priority="11" operator="notEqual">
      <formula>0</formula>
    </cfRule>
  </conditionalFormatting>
  <conditionalFormatting sqref="E84:E86">
    <cfRule type="cellIs" dxfId="119" priority="10" operator="notEqual">
      <formula>0</formula>
    </cfRule>
  </conditionalFormatting>
  <conditionalFormatting sqref="F97">
    <cfRule type="cellIs" dxfId="118" priority="2" operator="notEqual">
      <formula>0</formula>
    </cfRule>
  </conditionalFormatting>
  <conditionalFormatting sqref="G84:G86">
    <cfRule type="cellIs" dxfId="117" priority="9" operator="notEqual">
      <formula>0</formula>
    </cfRule>
  </conditionalFormatting>
  <conditionalFormatting sqref="I84:I86">
    <cfRule type="cellIs" dxfId="116" priority="8" operator="notEqual">
      <formula>0</formula>
    </cfRule>
  </conditionalFormatting>
  <conditionalFormatting sqref="K84:K86">
    <cfRule type="cellIs" dxfId="115" priority="7" operator="notEqual">
      <formula>0</formula>
    </cfRule>
  </conditionalFormatting>
  <conditionalFormatting sqref="M84:O86">
    <cfRule type="cellIs" dxfId="114" priority="6" operator="notEqual">
      <formula>0</formula>
    </cfRule>
  </conditionalFormatting>
  <conditionalFormatting sqref="Q84:Q86">
    <cfRule type="cellIs" dxfId="113" priority="4" operator="notEqual">
      <formula>0</formula>
    </cfRule>
  </conditionalFormatting>
  <printOptions horizontalCentered="1"/>
  <pageMargins left="0.2" right="0.2" top="0.5" bottom="0.5" header="0.3" footer="0.3"/>
  <pageSetup scale="58" orientation="landscape" horizontalDpi="4294967293"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H546"/>
  <sheetViews>
    <sheetView zoomScale="70" zoomScaleNormal="70" workbookViewId="0">
      <pane xSplit="3" ySplit="11" topLeftCell="D12" activePane="bottomRight" state="frozen"/>
      <selection activeCell="E167" sqref="E167"/>
      <selection pane="topRight" activeCell="E167" sqref="E167"/>
      <selection pane="bottomLeft" activeCell="E167" sqref="E167"/>
      <selection pane="bottomRight" activeCell="F1" sqref="F1"/>
    </sheetView>
  </sheetViews>
  <sheetFormatPr defaultColWidth="9.26953125" defaultRowHeight="14.5" outlineLevelRow="1" outlineLevelCol="1" x14ac:dyDescent="0.35"/>
  <cols>
    <col min="1" max="1" width="6" style="329" customWidth="1"/>
    <col min="2" max="2" width="45" style="329" bestFit="1" customWidth="1"/>
    <col min="3" max="3" width="25.26953125" style="329" bestFit="1" customWidth="1"/>
    <col min="4" max="4" width="20.54296875" style="329" bestFit="1" customWidth="1"/>
    <col min="5" max="5" width="22.26953125" style="329" bestFit="1" customWidth="1"/>
    <col min="6" max="6" width="22.54296875" style="329" bestFit="1" customWidth="1"/>
    <col min="7" max="7" width="18.26953125" style="329" customWidth="1"/>
    <col min="8" max="8" width="18.7265625" style="329" bestFit="1" customWidth="1"/>
    <col min="9" max="9" width="21.54296875" style="329" bestFit="1" customWidth="1"/>
    <col min="10" max="22" width="15.26953125" style="329" customWidth="1"/>
    <col min="23" max="23" width="16" style="329" customWidth="1"/>
    <col min="24" max="24" width="17.7265625" style="329" customWidth="1"/>
    <col min="25" max="25" width="16.7265625" style="329" customWidth="1"/>
    <col min="26" max="26" width="19.26953125" style="329" bestFit="1" customWidth="1"/>
    <col min="27" max="27" width="16.54296875" style="329" customWidth="1"/>
    <col min="28" max="28" width="20.7265625" style="329" bestFit="1" customWidth="1"/>
    <col min="29" max="29" width="17.7265625" style="329" customWidth="1"/>
    <col min="30" max="31" width="16.7265625" style="329" customWidth="1"/>
    <col min="32" max="32" width="18.26953125" style="329" customWidth="1"/>
    <col min="33" max="33" width="21.1796875" style="329" customWidth="1"/>
    <col min="34" max="34" width="21" style="329" customWidth="1"/>
    <col min="35" max="35" width="18.54296875" style="329" customWidth="1"/>
    <col min="36" max="36" width="18" style="329" customWidth="1"/>
    <col min="37" max="37" width="16.7265625" style="329" customWidth="1"/>
    <col min="38" max="41" width="20.54296875" style="329" customWidth="1"/>
    <col min="42" max="42" width="19.7265625" style="329" customWidth="1"/>
    <col min="43" max="43" width="17.54296875" style="329" customWidth="1"/>
    <col min="44" max="44" width="18" style="329" customWidth="1"/>
    <col min="45" max="45" width="23.453125" style="1277" customWidth="1"/>
    <col min="46" max="52" width="16.7265625" style="329" hidden="1" customWidth="1" outlineLevel="1"/>
    <col min="53" max="53" width="0" hidden="1" customWidth="1" collapsed="1"/>
    <col min="54" max="54" width="20" style="329" bestFit="1" customWidth="1"/>
    <col min="55" max="55" width="30.26953125" style="329" bestFit="1" customWidth="1"/>
    <col min="56" max="56" width="16.26953125" style="329" bestFit="1" customWidth="1"/>
    <col min="57" max="57" width="15.26953125" style="329" customWidth="1"/>
    <col min="58" max="58" width="9.26953125" style="329"/>
    <col min="59" max="59" width="13.36328125" style="329" customWidth="1"/>
    <col min="60" max="16384" width="9.26953125" style="329"/>
  </cols>
  <sheetData>
    <row r="1" spans="1:58" s="441" customFormat="1" x14ac:dyDescent="0.35">
      <c r="A1" s="442" t="s">
        <v>73</v>
      </c>
      <c r="BC1" s="354"/>
      <c r="BF1" s="336"/>
    </row>
    <row r="2" spans="1:58" x14ac:dyDescent="0.35">
      <c r="A2" s="443" t="s">
        <v>957</v>
      </c>
      <c r="B2" s="441"/>
      <c r="C2" s="441"/>
      <c r="D2" s="441"/>
      <c r="G2" s="441"/>
      <c r="H2" s="441"/>
      <c r="I2" s="441"/>
      <c r="O2" s="332"/>
      <c r="P2" s="332"/>
      <c r="Q2" s="332"/>
      <c r="R2" s="332"/>
      <c r="S2" s="332"/>
      <c r="T2" s="332"/>
      <c r="U2" s="332"/>
      <c r="V2" s="332"/>
      <c r="W2" s="332"/>
      <c r="X2" s="108"/>
      <c r="Y2" s="332"/>
      <c r="Z2" s="332"/>
      <c r="AA2" s="332"/>
      <c r="AB2" s="332"/>
      <c r="AC2" s="332"/>
      <c r="AD2" s="332"/>
      <c r="AE2" s="332"/>
      <c r="AF2" s="332"/>
      <c r="AG2" s="332"/>
      <c r="AH2" s="332"/>
      <c r="AI2" s="332"/>
      <c r="AJ2" s="332"/>
      <c r="AK2" s="332"/>
      <c r="AL2" s="332"/>
      <c r="AM2" s="332"/>
      <c r="AN2" s="332"/>
      <c r="AO2" s="332"/>
      <c r="AR2" s="332"/>
      <c r="AS2" s="332"/>
      <c r="AT2" s="332"/>
      <c r="AU2" s="332"/>
      <c r="AV2" s="332"/>
      <c r="AW2" s="332"/>
      <c r="AX2" s="332"/>
      <c r="AY2" s="332"/>
      <c r="AZ2" s="332"/>
      <c r="BB2" s="332"/>
      <c r="BC2" s="108"/>
      <c r="BF2" s="336"/>
    </row>
    <row r="3" spans="1:58" s="444" customFormat="1" ht="18.75" customHeight="1" x14ac:dyDescent="0.3">
      <c r="A3" s="443" t="s">
        <v>75</v>
      </c>
      <c r="B3" s="329"/>
      <c r="C3" s="441"/>
      <c r="D3" s="441"/>
      <c r="G3" s="332"/>
      <c r="H3" s="332"/>
      <c r="I3" s="332"/>
      <c r="M3" s="108"/>
      <c r="N3" s="109"/>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R3" s="445"/>
      <c r="AS3" s="445"/>
      <c r="AT3" s="445"/>
      <c r="AU3" s="445"/>
      <c r="AV3" s="445"/>
      <c r="AW3" s="445"/>
      <c r="AX3" s="445"/>
      <c r="AY3" s="445"/>
      <c r="AZ3" s="445"/>
      <c r="BB3" s="445"/>
      <c r="BC3" s="446"/>
      <c r="BF3" s="336"/>
    </row>
    <row r="4" spans="1:58" x14ac:dyDescent="0.35">
      <c r="A4" s="332" t="s">
        <v>922</v>
      </c>
      <c r="B4" s="444"/>
      <c r="C4" s="441"/>
      <c r="D4" s="441"/>
      <c r="G4" s="445"/>
      <c r="H4" s="445"/>
      <c r="I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R4" s="445"/>
      <c r="AS4" s="445"/>
      <c r="AT4" s="445"/>
      <c r="AU4" s="445"/>
      <c r="AV4" s="445"/>
      <c r="AW4" s="445"/>
      <c r="AX4" s="445"/>
      <c r="AY4" s="445"/>
      <c r="AZ4" s="445"/>
      <c r="BB4" s="445"/>
      <c r="BD4" s="444"/>
      <c r="BF4" s="336"/>
    </row>
    <row r="5" spans="1:58" x14ac:dyDescent="0.35">
      <c r="C5" s="441"/>
      <c r="D5" s="441"/>
      <c r="G5" s="445"/>
      <c r="H5" s="445"/>
      <c r="I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R5" s="445"/>
      <c r="AS5" s="445"/>
      <c r="AT5" s="445"/>
      <c r="AU5" s="445"/>
      <c r="AV5" s="445"/>
      <c r="AW5" s="445"/>
      <c r="AX5" s="445"/>
      <c r="AY5" s="445"/>
      <c r="AZ5" s="445"/>
      <c r="BB5" s="445"/>
      <c r="BD5" s="444"/>
      <c r="BF5" s="336"/>
    </row>
    <row r="6" spans="1:58" hidden="1" outlineLevel="1" x14ac:dyDescent="0.35">
      <c r="C6" s="546"/>
      <c r="D6" s="546"/>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1275"/>
      <c r="AT6" s="445"/>
      <c r="AU6" s="445"/>
      <c r="AV6" s="445"/>
      <c r="AW6" s="445"/>
      <c r="AX6" s="445"/>
      <c r="AY6" s="445"/>
      <c r="AZ6" s="445"/>
      <c r="BD6" s="444"/>
      <c r="BF6" s="336"/>
    </row>
    <row r="7" spans="1:58" hidden="1" outlineLevel="1" x14ac:dyDescent="0.35">
      <c r="C7" s="721"/>
      <c r="D7" s="721"/>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1276"/>
      <c r="AT7" s="447"/>
      <c r="AU7" s="447"/>
      <c r="AV7" s="447"/>
      <c r="AW7" s="447"/>
      <c r="AX7" s="447"/>
      <c r="AY7" s="447"/>
      <c r="AZ7" s="447"/>
      <c r="BD7" s="444"/>
      <c r="BF7" s="336"/>
    </row>
    <row r="8" spans="1:58" collapsed="1" x14ac:dyDescent="0.35">
      <c r="B8" s="727"/>
      <c r="C8" s="727"/>
      <c r="D8" s="727"/>
      <c r="E8" s="1317" t="s">
        <v>76</v>
      </c>
      <c r="F8" s="448" t="s">
        <v>76</v>
      </c>
      <c r="G8" s="448" t="s">
        <v>76</v>
      </c>
      <c r="H8" s="448" t="s">
        <v>76</v>
      </c>
      <c r="I8" s="448" t="s">
        <v>76</v>
      </c>
      <c r="J8" s="448" t="s">
        <v>76</v>
      </c>
      <c r="K8" s="448" t="s">
        <v>76</v>
      </c>
      <c r="L8" s="448" t="s">
        <v>76</v>
      </c>
      <c r="M8" s="448" t="s">
        <v>76</v>
      </c>
      <c r="N8" s="448" t="s">
        <v>76</v>
      </c>
      <c r="O8" s="448" t="s">
        <v>76</v>
      </c>
      <c r="P8" s="448" t="s">
        <v>76</v>
      </c>
      <c r="Q8" s="448" t="s">
        <v>76</v>
      </c>
      <c r="R8" s="448" t="s">
        <v>76</v>
      </c>
      <c r="S8" s="448" t="s">
        <v>76</v>
      </c>
      <c r="T8" s="448" t="s">
        <v>76</v>
      </c>
      <c r="U8" s="448" t="s">
        <v>76</v>
      </c>
      <c r="V8" s="448" t="s">
        <v>76</v>
      </c>
      <c r="W8" s="448" t="s">
        <v>76</v>
      </c>
      <c r="X8" s="448" t="s">
        <v>76</v>
      </c>
      <c r="Y8" s="448" t="s">
        <v>76</v>
      </c>
      <c r="Z8" s="448" t="s">
        <v>76</v>
      </c>
      <c r="AA8" s="448" t="s">
        <v>76</v>
      </c>
      <c r="AB8" s="448" t="s">
        <v>76</v>
      </c>
      <c r="AC8" s="448" t="s">
        <v>76</v>
      </c>
      <c r="AD8" s="448" t="s">
        <v>76</v>
      </c>
      <c r="AE8" s="448" t="s">
        <v>76</v>
      </c>
      <c r="AF8" s="448" t="s">
        <v>76</v>
      </c>
      <c r="AG8" s="448" t="s">
        <v>76</v>
      </c>
      <c r="AH8" s="448" t="s">
        <v>76</v>
      </c>
      <c r="AI8" s="448" t="s">
        <v>76</v>
      </c>
      <c r="AJ8" s="448" t="s">
        <v>76</v>
      </c>
      <c r="AK8" s="448" t="s">
        <v>76</v>
      </c>
      <c r="AL8" s="448" t="s">
        <v>76</v>
      </c>
      <c r="AM8" s="448" t="s">
        <v>76</v>
      </c>
      <c r="AN8" s="448" t="s">
        <v>76</v>
      </c>
      <c r="AO8" s="448" t="s">
        <v>76</v>
      </c>
      <c r="AP8" s="449" t="s">
        <v>958</v>
      </c>
      <c r="AQ8" s="449" t="s">
        <v>958</v>
      </c>
      <c r="AR8" s="449" t="s">
        <v>958</v>
      </c>
      <c r="AS8" s="1286" t="s">
        <v>958</v>
      </c>
      <c r="AT8" s="449"/>
      <c r="AU8" s="449"/>
      <c r="AV8" s="449"/>
      <c r="AW8" s="449"/>
      <c r="AX8" s="449"/>
      <c r="AY8" s="449"/>
      <c r="AZ8" s="449"/>
      <c r="BD8" s="444"/>
      <c r="BF8" s="336"/>
    </row>
    <row r="9" spans="1:58" x14ac:dyDescent="0.35">
      <c r="D9" s="450"/>
      <c r="E9" s="1287">
        <f>VLOOKUP(E10,'Adj List'!$A$7:$D$472,3,FALSE)</f>
        <v>11.01</v>
      </c>
      <c r="F9" s="451">
        <f>VLOOKUP(F10,'Adj List'!$A$7:$D$472,3,FALSE)</f>
        <v>11.02</v>
      </c>
      <c r="G9" s="451">
        <f>VLOOKUP(G10,'Adj List'!$A$7:$D$472,3,FALSE)</f>
        <v>11.03</v>
      </c>
      <c r="H9" s="451">
        <f>VLOOKUP(H10,'Adj List'!$A$7:$D$472,3,FALSE)</f>
        <v>11.04</v>
      </c>
      <c r="I9" s="451">
        <f>VLOOKUP(I10,'Adj List'!$A$7:$D$472,3,FALSE)</f>
        <v>11.049999999999999</v>
      </c>
      <c r="J9" s="451">
        <f>VLOOKUP(J10,'Adj List'!$A$7:$D$472,3,FALSE)</f>
        <v>11.059999999999999</v>
      </c>
      <c r="K9" s="451">
        <f>VLOOKUP(K10,'Adj List'!$A$7:$D$472,3,FALSE)</f>
        <v>11.069999999999999</v>
      </c>
      <c r="L9" s="451">
        <f>VLOOKUP(L10,'Adj List'!$A$7:$D$472,3,FALSE)</f>
        <v>11.079999999999998</v>
      </c>
      <c r="M9" s="451">
        <f>VLOOKUP(M10,'Adj List'!$A$7:$D$472,3,FALSE)</f>
        <v>11.089999999999998</v>
      </c>
      <c r="N9" s="451">
        <f>VLOOKUP(N10,'Adj List'!$A$7:$D$472,3,FALSE)</f>
        <v>11.099999999999998</v>
      </c>
      <c r="O9" s="451">
        <f>VLOOKUP(O10,'Adj List'!$A$7:$D$472,3,FALSE)</f>
        <v>11.109999999999998</v>
      </c>
      <c r="P9" s="451">
        <f>VLOOKUP(P10,'Adj List'!$A$7:$D$472,3,FALSE)</f>
        <v>11.119999999999997</v>
      </c>
      <c r="Q9" s="451">
        <f>VLOOKUP(Q10,'Adj List'!$A$7:$D$472,3,FALSE)</f>
        <v>11.129999999999997</v>
      </c>
      <c r="R9" s="451">
        <f>VLOOKUP(R10,'Adj List'!$A$7:$D$472,3,FALSE)</f>
        <v>11.139999999999997</v>
      </c>
      <c r="S9" s="451">
        <f>VLOOKUP(S10,'Adj List'!$A$7:$D$472,3,FALSE)</f>
        <v>11.149999999999997</v>
      </c>
      <c r="T9" s="451">
        <f>VLOOKUP(T10,'Adj List'!$A$7:$D$472,3,FALSE)</f>
        <v>11.159999999999997</v>
      </c>
      <c r="U9" s="451">
        <f>VLOOKUP(U10,'Adj List'!$A$7:$D$472,3,FALSE)</f>
        <v>11.169999999999996</v>
      </c>
      <c r="V9" s="451">
        <f>VLOOKUP(V10,'Adj List'!$A$7:$D$472,3,FALSE)</f>
        <v>11.179999999999996</v>
      </c>
      <c r="W9" s="451">
        <f>VLOOKUP(W10,'Adj List'!$A$7:$D$472,3,FALSE)</f>
        <v>11.189999999999996</v>
      </c>
      <c r="X9" s="451">
        <f>VLOOKUP(X10,'Adj List'!$A$7:$D$472,3,FALSE)</f>
        <v>11.199999999999996</v>
      </c>
      <c r="Y9" s="451">
        <f>VLOOKUP(Y10,'Adj List'!$A$7:$D$472,3,FALSE)</f>
        <v>11.209999999999996</v>
      </c>
      <c r="Z9" s="451">
        <f>VLOOKUP(Z10,'Adj List'!$A$7:$D$472,3,FALSE)</f>
        <v>11.219999999999995</v>
      </c>
      <c r="AA9" s="451">
        <f>VLOOKUP(AA10,'Adj List'!$A$7:$D$472,3,FALSE)</f>
        <v>11.229999999999995</v>
      </c>
      <c r="AB9" s="451">
        <f>VLOOKUP(AB10,'Adj List'!$A$7:$D$472,3,FALSE)</f>
        <v>11.239999999999995</v>
      </c>
      <c r="AC9" s="451">
        <f>VLOOKUP(AC10,'Adj List'!$A$7:$D$472,3,FALSE)</f>
        <v>11.249999999999995</v>
      </c>
      <c r="AD9" s="451">
        <f>VLOOKUP(AD10,'Adj List'!$A$7:$D$472,3,FALSE)</f>
        <v>11.259999999999994</v>
      </c>
      <c r="AE9" s="451">
        <f>VLOOKUP(AE10,'Adj List'!$A$7:$D$472,3,FALSE)</f>
        <v>11.269999999999994</v>
      </c>
      <c r="AF9" s="451">
        <f>VLOOKUP(AF10,'Adj List'!$A$7:$D$472,3,FALSE)</f>
        <v>11.279999999999994</v>
      </c>
      <c r="AG9" s="451">
        <f>VLOOKUP(AG10,'Adj List'!$A$7:$D$472,3,FALSE)</f>
        <v>11.289999999999994</v>
      </c>
      <c r="AH9" s="451">
        <f>VLOOKUP(AH10,'Adj List'!$A$7:$D$472,3,FALSE)</f>
        <v>11.299999999999994</v>
      </c>
      <c r="AI9" s="451">
        <f>VLOOKUP(AI10,'Adj List'!$A$7:$D$472,3,FALSE)</f>
        <v>11.309999999999993</v>
      </c>
      <c r="AJ9" s="451">
        <f>VLOOKUP(AJ10,'Adj List'!$A$7:$D$472,3,FALSE)</f>
        <v>11.319999999999993</v>
      </c>
      <c r="AK9" s="451">
        <f>VLOOKUP(AK10,'Adj List'!$A$7:$D$472,3,FALSE)</f>
        <v>11.329999999999993</v>
      </c>
      <c r="AL9" s="451">
        <f>VLOOKUP(AL10,'Adj List'!$A$7:$D$472,3,FALSE)</f>
        <v>11.339999999999993</v>
      </c>
      <c r="AM9" s="451">
        <f>VLOOKUP(AM10,'Adj List'!$A$7:$D$472,3,FALSE)</f>
        <v>11.349999999999993</v>
      </c>
      <c r="AN9" s="451">
        <f>VLOOKUP(AN10,'Adj List'!$A$7:$D$472,3,FALSE)</f>
        <v>11.359999999999992</v>
      </c>
      <c r="AO9" s="451">
        <f>VLOOKUP(AO10,'Adj List'!$A$7:$D$472,3,FALSE)</f>
        <v>11.369999999999992</v>
      </c>
      <c r="AP9" s="451">
        <f>VLOOKUP(AP10,'Adj List'!$A$7:$D$472,3,FALSE)</f>
        <v>11.379999999999992</v>
      </c>
      <c r="AQ9" s="451">
        <f>VLOOKUP(AQ10,'Adj List'!$A$7:$D$472,3,FALSE)</f>
        <v>11.389999999999992</v>
      </c>
      <c r="AR9" s="451">
        <f>VLOOKUP(AR10,'Adj List'!$A$7:$D$472,3,FALSE)</f>
        <v>11.399999999999991</v>
      </c>
      <c r="AS9" s="1287" t="s">
        <v>1907</v>
      </c>
      <c r="AT9" s="451"/>
      <c r="AU9" s="451"/>
      <c r="AV9" s="451"/>
      <c r="AW9" s="451"/>
      <c r="AX9" s="451"/>
      <c r="AY9" s="451"/>
      <c r="AZ9" s="451"/>
      <c r="BB9" s="450"/>
      <c r="BC9" s="450"/>
      <c r="BD9" s="444"/>
      <c r="BF9" s="336"/>
    </row>
    <row r="10" spans="1:58" ht="70" x14ac:dyDescent="0.35">
      <c r="A10" s="160" t="s">
        <v>7</v>
      </c>
      <c r="B10" s="160" t="s">
        <v>8</v>
      </c>
      <c r="C10" s="160"/>
      <c r="D10" s="452" t="s">
        <v>1021</v>
      </c>
      <c r="E10" s="1318" t="str">
        <f>+'Adj List'!$A7</f>
        <v>REVENUES AND EXPENSES</v>
      </c>
      <c r="F10" s="445" t="str">
        <f>+'Adj List'!$A8</f>
        <v>PASS-THROUGH REVENUE &amp; EXPENSE</v>
      </c>
      <c r="G10" s="445" t="str">
        <f>+'Adj List'!$A9</f>
        <v>TEMPERATURE NORMALIZATION</v>
      </c>
      <c r="H10" s="445" t="str">
        <f>+'Adj List'!$A10</f>
        <v>FEDERAL INCOME TAX</v>
      </c>
      <c r="I10" s="445" t="str">
        <f>+'Adj List'!$A11</f>
        <v>TAX BENEFIT OF INTEREST</v>
      </c>
      <c r="J10" s="445" t="str">
        <f>+'Adj List'!$A12</f>
        <v>BAD DEBT EXPENSE</v>
      </c>
      <c r="K10" s="445" t="str">
        <f>+'Adj List'!$A13</f>
        <v>RATE CASE EXPENSE</v>
      </c>
      <c r="L10" s="445" t="str">
        <f>+'Adj List'!$A14</f>
        <v xml:space="preserve">EXCISE TAX </v>
      </c>
      <c r="M10" s="445" t="str">
        <f>+'Adj List'!$A15</f>
        <v>EMPLOYEE INSURANCE</v>
      </c>
      <c r="N10" s="445" t="str">
        <f>+'Adj List'!$A16</f>
        <v>INJURIES &amp; DAMAGES</v>
      </c>
      <c r="O10" s="445" t="str">
        <f>+'Adj List'!$A17</f>
        <v>INCENTIVE PAY</v>
      </c>
      <c r="P10" s="445" t="str">
        <f>+'Adj List'!$A18</f>
        <v>INVESTMENT PLAN</v>
      </c>
      <c r="Q10" s="445" t="str">
        <f>+'Adj List'!$A19</f>
        <v>INTEREST ON  CUSTOMER DEPOSITS</v>
      </c>
      <c r="R10" s="445" t="str">
        <f>+'Adj List'!$A20</f>
        <v>PROPERTY AND LIAB INSURANCE</v>
      </c>
      <c r="S10" s="445" t="str">
        <f>+'Adj List'!$A21</f>
        <v>DEFERRED GAINS AND LOSSES ON PROPERTY SALES</v>
      </c>
      <c r="T10" s="445" t="str">
        <f>+'Adj List'!$A22</f>
        <v>D&amp;O INSURANCE</v>
      </c>
      <c r="U10" s="445" t="str">
        <f>+'Adj List'!$A23</f>
        <v>PENSION PLAN</v>
      </c>
      <c r="V10" s="445" t="str">
        <f>+'Adj List'!$A24</f>
        <v>WAGE INCREASE</v>
      </c>
      <c r="W10" s="445" t="str">
        <f>+'Adj List'!$A25</f>
        <v>AMA TO EOP RATE BASE</v>
      </c>
      <c r="X10" s="445" t="str">
        <f>+'Adj List'!$A26</f>
        <v>UPDATE DEPR RATES</v>
      </c>
      <c r="Y10" s="445" t="str">
        <f>+'Adj List'!$A27</f>
        <v>WUTC FILING FEE</v>
      </c>
      <c r="Z10" s="445" t="str">
        <f>+'Adj List'!$A28</f>
        <v>PRO FORMA O&amp;M</v>
      </c>
      <c r="AA10" s="445" t="str">
        <f>+'Adj List'!$A29</f>
        <v>REMOVE AMR PLANT AND DEPRECIATION</v>
      </c>
      <c r="AB10" s="445" t="str">
        <f>+'Adj List'!$A30</f>
        <v>AMI PLANT AND DEFERRAL</v>
      </c>
      <c r="AC10" s="445" t="str">
        <f>+'Adj List'!$A31</f>
        <v>ENVIRONMENTAL REMEDIATION</v>
      </c>
      <c r="AD10" s="445" t="str">
        <f>+'Adj List'!$A32</f>
        <v>ESTIMATED PLANT RETIREMENTS RATE BASE</v>
      </c>
      <c r="AE10" s="445" t="str">
        <f>+'Adj List'!$A33</f>
        <v>TEST YEAR PLANT ROLL FORWARD</v>
      </c>
      <c r="AF10" s="445" t="str">
        <f>+'Adj List'!$A34</f>
        <v>PROVISIONAL PROFORMA RETIREMENTS DEPRECIATION</v>
      </c>
      <c r="AG10" s="445" t="str">
        <f>+'Adj List'!$A35</f>
        <v>PROGRAMMATIC PROVISIONAL PROFORMA</v>
      </c>
      <c r="AH10" s="445" t="str">
        <f>+'Adj List'!$A36</f>
        <v>CUSTOMER DRIVEN PROGRAMMATIC PROVISIONAL PROFORMA</v>
      </c>
      <c r="AI10" s="445" t="str">
        <f>+'Adj List'!$A37</f>
        <v>SPECIFIC PROVISIONAL PROFORMA</v>
      </c>
      <c r="AJ10" s="445" t="str">
        <f>+'Adj List'!$A38</f>
        <v>PROJECTED PROVISIONAL PROFORMA</v>
      </c>
      <c r="AK10" s="445" t="str">
        <f>+'Adj List'!$A39</f>
        <v>REMOVE TEST YEAR DEFERRALS</v>
      </c>
      <c r="AL10" s="445" t="str">
        <f>+'Adj List'!$A40</f>
        <v>REGULATORY FILING FEE DEFERRAL</v>
      </c>
      <c r="AM10" s="445" t="str">
        <f>+'Adj List'!$A41</f>
        <v>PARTICIPATORY FUNDING GRANTS</v>
      </c>
      <c r="AN10" s="445" t="str">
        <f>+'Adj List'!$A42</f>
        <v>TARGETED ELECTRIFICATION ACTIVITIES DEFERRAL AMORTIZATION</v>
      </c>
      <c r="AO10" s="445" t="s">
        <v>1530</v>
      </c>
      <c r="AP10" s="453" t="str">
        <f>+'Adj List'!$A78</f>
        <v>TACOMA LNG PLANT AND DEFERRAL - REMOVAL</v>
      </c>
      <c r="AQ10" s="453" t="str">
        <f>+'Adj List'!$A79</f>
        <v>GAS REGULATORY ASSETS &amp; LIAB</v>
      </c>
      <c r="AR10" s="453" t="str">
        <f>+'Adj List'!$A80</f>
        <v>REMOVAL OF TACOMA LNG PROJECT 4 MILE 16-INCH PIPELINE</v>
      </c>
      <c r="AS10" s="1288" t="s">
        <v>1929</v>
      </c>
      <c r="AT10" s="453"/>
      <c r="AU10" s="453"/>
      <c r="AV10" s="453"/>
      <c r="AW10" s="453"/>
      <c r="AX10" s="453"/>
      <c r="AY10" s="453"/>
      <c r="AZ10" s="453"/>
      <c r="BB10" s="452" t="s">
        <v>171</v>
      </c>
      <c r="BC10" s="452" t="s">
        <v>172</v>
      </c>
      <c r="BD10" s="444"/>
      <c r="BF10" s="435"/>
    </row>
    <row r="11" spans="1:58" x14ac:dyDescent="0.35">
      <c r="D11" s="454" t="str">
        <f>VLOOKUP(COLUMN(D70),'Named Ranges E'!A17:B569,2,FALSE)</f>
        <v>d</v>
      </c>
      <c r="E11" s="1278" t="str">
        <f>VLOOKUP(COLUMN(E70),'Named Ranges E'!A17:B569,2,FALSE)</f>
        <v>e</v>
      </c>
      <c r="F11" s="336" t="str">
        <f>VLOOKUP(COLUMN(F70),'Named Ranges E'!A17:B569,2,FALSE)</f>
        <v>f</v>
      </c>
      <c r="G11" s="336" t="str">
        <f>VLOOKUP(COLUMN(G70),'Named Ranges E'!A17:B569,2,FALSE)</f>
        <v>g</v>
      </c>
      <c r="H11" s="336" t="str">
        <f>VLOOKUP(COLUMN(H70),'Named Ranges E'!A17:B569,2,FALSE)</f>
        <v>h</v>
      </c>
      <c r="I11" s="336" t="str">
        <f>VLOOKUP(COLUMN(I70),'Named Ranges E'!A17:B569,2,FALSE)</f>
        <v>i</v>
      </c>
      <c r="J11" s="336" t="str">
        <f>VLOOKUP(COLUMN(J70),'Named Ranges E'!A17:B569,2,FALSE)</f>
        <v>j</v>
      </c>
      <c r="K11" s="336" t="str">
        <f>VLOOKUP(COLUMN(K70),'Named Ranges E'!A17:B569,2,FALSE)</f>
        <v>k</v>
      </c>
      <c r="L11" s="336" t="str">
        <f>VLOOKUP(COLUMN(L70),'Named Ranges E'!A17:B569,2,FALSE)</f>
        <v>l</v>
      </c>
      <c r="M11" s="336" t="str">
        <f>VLOOKUP(COLUMN(M70),'Named Ranges E'!A17:B569,2,FALSE)</f>
        <v>m</v>
      </c>
      <c r="N11" s="336" t="str">
        <f>VLOOKUP(COLUMN(N70),'Named Ranges E'!A17:B569,2,FALSE)</f>
        <v>n</v>
      </c>
      <c r="O11" s="336" t="str">
        <f>VLOOKUP(COLUMN(O70),'Named Ranges E'!A17:B569,2,FALSE)</f>
        <v>o</v>
      </c>
      <c r="P11" s="336" t="str">
        <f>VLOOKUP(COLUMN(P70),'Named Ranges E'!A17:B569,2,FALSE)</f>
        <v>p</v>
      </c>
      <c r="Q11" s="336" t="str">
        <f>VLOOKUP(COLUMN(Q70),'Named Ranges E'!A17:B569,2,FALSE)</f>
        <v>q</v>
      </c>
      <c r="R11" s="336" t="str">
        <f>VLOOKUP(COLUMN(R70),'Named Ranges E'!A17:B569,2,FALSE)</f>
        <v>r</v>
      </c>
      <c r="S11" s="336" t="str">
        <f>VLOOKUP(COLUMN(S70),'Named Ranges E'!A17:B569,2,FALSE)</f>
        <v>s</v>
      </c>
      <c r="T11" s="336" t="str">
        <f>VLOOKUP(COLUMN(T70),'Named Ranges E'!A17:B569,2,FALSE)</f>
        <v>t</v>
      </c>
      <c r="U11" s="336" t="str">
        <f>VLOOKUP(COLUMN(U70),'Named Ranges E'!A17:B569,2,FALSE)</f>
        <v>u</v>
      </c>
      <c r="V11" s="336" t="str">
        <f>VLOOKUP(COLUMN(V70),'Named Ranges E'!A17:B569,2,FALSE)</f>
        <v>v</v>
      </c>
      <c r="W11" s="336" t="str">
        <f>VLOOKUP(COLUMN(W70),'Named Ranges E'!A17:B569,2,FALSE)</f>
        <v>w</v>
      </c>
      <c r="X11" s="336" t="str">
        <f>VLOOKUP(COLUMN(X70),'Named Ranges E'!A17:B569,2,FALSE)</f>
        <v>x</v>
      </c>
      <c r="Y11" s="336" t="str">
        <f>VLOOKUP(COLUMN(Y70),'Named Ranges E'!A17:B569,2,FALSE)</f>
        <v>y</v>
      </c>
      <c r="Z11" s="336" t="str">
        <f>VLOOKUP(COLUMN(Z70),'Named Ranges E'!A17:B569,2,FALSE)</f>
        <v>z</v>
      </c>
      <c r="AA11" s="336" t="str">
        <f>VLOOKUP(COLUMN(AA70),'Named Ranges E'!A17:B569,2,FALSE)</f>
        <v>aa</v>
      </c>
      <c r="AB11" s="336" t="str">
        <f>VLOOKUP(COLUMN(AB70),'Named Ranges E'!A17:B569,2,FALSE)</f>
        <v>ab</v>
      </c>
      <c r="AC11" s="336" t="str">
        <f>VLOOKUP(COLUMN(AC70),'Named Ranges E'!A17:B569,2,FALSE)</f>
        <v>ac</v>
      </c>
      <c r="AD11" s="336" t="str">
        <f>VLOOKUP(COLUMN(AD70),'Named Ranges E'!A17:B569,2,FALSE)</f>
        <v>ad</v>
      </c>
      <c r="AE11" s="336" t="str">
        <f>VLOOKUP(COLUMN(AE70),'Named Ranges E'!A17:B569,2,FALSE)</f>
        <v>ae</v>
      </c>
      <c r="AF11" s="336" t="str">
        <f>VLOOKUP(COLUMN(AF70),'Named Ranges E'!A17:B569,2,FALSE)</f>
        <v>af</v>
      </c>
      <c r="AG11" s="336" t="str">
        <f>VLOOKUP(COLUMN(AG70),'Named Ranges E'!A17:B569,2,FALSE)</f>
        <v>ag</v>
      </c>
      <c r="AH11" s="336" t="str">
        <f>VLOOKUP(COLUMN(AH70),'Named Ranges E'!A17:B569,2,FALSE)</f>
        <v>ah</v>
      </c>
      <c r="AI11" s="336" t="str">
        <f>VLOOKUP(COLUMN(AI70),'Named Ranges E'!$A$17:$B$569,2,FALSE)</f>
        <v>ai</v>
      </c>
      <c r="AJ11" s="336" t="str">
        <f>VLOOKUP(COLUMN(AJ70),'Named Ranges E'!$A$17:$B$569,2,FALSE)</f>
        <v>aj</v>
      </c>
      <c r="AK11" s="336" t="str">
        <f>VLOOKUP(COLUMN(AK70),'Named Ranges E'!$A$17:$B$569,2,FALSE)</f>
        <v>ak</v>
      </c>
      <c r="AL11" s="336" t="str">
        <f>VLOOKUP(COLUMN(AL70),'Named Ranges E'!$A$17:$B$569,2,FALSE)</f>
        <v>al</v>
      </c>
      <c r="AM11" s="336" t="str">
        <f>VLOOKUP(COLUMN(AM70),'Named Ranges E'!$A$17:$B$569,2,FALSE)</f>
        <v>am</v>
      </c>
      <c r="AN11" s="336" t="str">
        <f>VLOOKUP(COLUMN(AN70),'Named Ranges E'!$A$17:$B$569,2,FALSE)</f>
        <v>an</v>
      </c>
      <c r="AO11" s="336" t="str">
        <f>VLOOKUP(COLUMN(AO70),'Named Ranges E'!$A$17:$B$569,2,FALSE)</f>
        <v>ao</v>
      </c>
      <c r="AP11" s="336" t="str">
        <f>VLOOKUP(COLUMN(AP70),'Named Ranges E'!$A$17:$B$569,2,FALSE)</f>
        <v>ap</v>
      </c>
      <c r="AQ11" s="336" t="str">
        <f>VLOOKUP(COLUMN(AQ70),'Named Ranges E'!$A$17:$B$569,2,FALSE)</f>
        <v>aq</v>
      </c>
      <c r="AR11" s="336" t="str">
        <f>VLOOKUP(COLUMN(AR70),'Named Ranges E'!$A$17:$B$569,2,FALSE)</f>
        <v>ar</v>
      </c>
      <c r="AS11" s="1278" t="str">
        <f>VLOOKUP(COLUMN(AS70),'Named Ranges E'!$A$17:$B$569,2,FALSE)</f>
        <v>as</v>
      </c>
      <c r="AT11" s="336"/>
      <c r="AU11" s="336"/>
      <c r="AV11" s="336"/>
      <c r="AW11" s="336"/>
      <c r="AX11" s="336"/>
      <c r="AY11" s="336"/>
      <c r="AZ11" s="336"/>
      <c r="BB11" s="455" t="str">
        <f>VLOOKUP(COLUMN(BB1),'Named Ranges E'!A17:B569,2,FALSE)&amp;" = ∑ "&amp;E11&amp;" thru "&amp;AZ11</f>
        <v xml:space="preserve">bb = ∑ e thru </v>
      </c>
      <c r="BC11" s="455" t="str">
        <f>VLOOKUP(COLUMN(BC1),'Named Ranges E'!A17:B569,2,FALSE)&amp;" = "&amp;LEFT(D11,2)&amp;" + "&amp;LEFT(BB11,2)</f>
        <v>bc = d + bb</v>
      </c>
      <c r="BD11" s="444"/>
      <c r="BF11" s="336"/>
    </row>
    <row r="12" spans="1:58" x14ac:dyDescent="0.35">
      <c r="A12" s="456"/>
      <c r="B12" s="456"/>
      <c r="C12" s="456"/>
      <c r="D12" s="457"/>
      <c r="E12" s="456"/>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6"/>
      <c r="AT12" s="457"/>
      <c r="AU12" s="457"/>
      <c r="AV12" s="457"/>
      <c r="AW12" s="457"/>
      <c r="AX12" s="457"/>
      <c r="AY12" s="457"/>
      <c r="AZ12" s="457"/>
      <c r="BB12" s="457"/>
      <c r="BC12" s="457"/>
      <c r="BD12" s="444"/>
      <c r="BF12" s="336"/>
    </row>
    <row r="13" spans="1:58" outlineLevel="1" x14ac:dyDescent="0.35">
      <c r="A13" s="456"/>
      <c r="B13" s="458"/>
      <c r="C13" s="459" t="s">
        <v>892</v>
      </c>
      <c r="D13" s="460"/>
      <c r="E13" s="461">
        <v>45078</v>
      </c>
      <c r="F13" s="461">
        <v>45078</v>
      </c>
      <c r="G13" s="461">
        <v>45078</v>
      </c>
      <c r="H13" s="461">
        <v>45078</v>
      </c>
      <c r="I13" s="461">
        <v>45078</v>
      </c>
      <c r="J13" s="461">
        <v>45078</v>
      </c>
      <c r="K13" s="461">
        <v>45078</v>
      </c>
      <c r="L13" s="461">
        <v>45078</v>
      </c>
      <c r="M13" s="461">
        <v>45078</v>
      </c>
      <c r="N13" s="461">
        <v>45078</v>
      </c>
      <c r="O13" s="461">
        <v>45078</v>
      </c>
      <c r="P13" s="461">
        <v>45078</v>
      </c>
      <c r="Q13" s="461">
        <v>45078</v>
      </c>
      <c r="R13" s="461">
        <v>45078</v>
      </c>
      <c r="S13" s="461">
        <v>45078</v>
      </c>
      <c r="T13" s="461">
        <v>45078</v>
      </c>
      <c r="U13" s="461">
        <v>45078</v>
      </c>
      <c r="V13" s="461">
        <v>45078</v>
      </c>
      <c r="W13" s="461">
        <v>45078</v>
      </c>
      <c r="X13" s="461">
        <v>45078</v>
      </c>
      <c r="Y13" s="461">
        <v>45078</v>
      </c>
      <c r="Z13" s="461">
        <v>45078</v>
      </c>
      <c r="AA13" s="461">
        <v>45078</v>
      </c>
      <c r="AB13" s="461">
        <v>45078</v>
      </c>
      <c r="AC13" s="461">
        <v>45078</v>
      </c>
      <c r="AD13" s="461">
        <v>45078</v>
      </c>
      <c r="AE13" s="461">
        <v>45078</v>
      </c>
      <c r="AF13" s="461">
        <v>45078</v>
      </c>
      <c r="AG13" s="461">
        <v>45078</v>
      </c>
      <c r="AH13" s="461">
        <v>45078</v>
      </c>
      <c r="AI13" s="461">
        <v>45078</v>
      </c>
      <c r="AJ13" s="461">
        <v>45078</v>
      </c>
      <c r="AK13" s="461">
        <v>45078</v>
      </c>
      <c r="AL13" s="461">
        <v>45078</v>
      </c>
      <c r="AM13" s="461">
        <v>45078</v>
      </c>
      <c r="AN13" s="461">
        <v>45078</v>
      </c>
      <c r="AO13" s="461">
        <v>45078</v>
      </c>
      <c r="AP13" s="461">
        <v>45078</v>
      </c>
      <c r="AQ13" s="461">
        <v>45078</v>
      </c>
      <c r="AR13" s="461">
        <v>45078</v>
      </c>
      <c r="AS13" s="461">
        <v>45078</v>
      </c>
      <c r="AT13" s="461">
        <v>45078</v>
      </c>
      <c r="AU13" s="461">
        <v>45078</v>
      </c>
      <c r="AV13" s="461">
        <v>45078</v>
      </c>
      <c r="AW13" s="461">
        <v>45078</v>
      </c>
      <c r="AX13" s="461">
        <v>45078</v>
      </c>
      <c r="AY13" s="461">
        <v>45078</v>
      </c>
      <c r="AZ13" s="461">
        <v>45078</v>
      </c>
      <c r="BB13" s="461">
        <v>45078</v>
      </c>
      <c r="BC13" s="461">
        <v>45078</v>
      </c>
      <c r="BD13" s="444"/>
      <c r="BF13" s="336"/>
    </row>
    <row r="14" spans="1:58" outlineLevel="1" x14ac:dyDescent="0.35">
      <c r="A14" s="456"/>
      <c r="B14" s="458"/>
      <c r="C14" s="460">
        <v>45078</v>
      </c>
      <c r="D14" s="462"/>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B14" s="456"/>
      <c r="BC14" s="462"/>
      <c r="BD14" s="444"/>
      <c r="BF14" s="336"/>
    </row>
    <row r="15" spans="1:58" outlineLevel="1" x14ac:dyDescent="0.35">
      <c r="A15" s="336">
        <f>ROW()</f>
        <v>15</v>
      </c>
      <c r="B15" s="464" t="s">
        <v>0</v>
      </c>
      <c r="C15" s="465" t="s">
        <v>892</v>
      </c>
      <c r="D15" s="466"/>
      <c r="E15" s="1279"/>
      <c r="AS15" s="1279"/>
      <c r="BB15" s="466"/>
      <c r="BC15" s="466"/>
      <c r="BD15" s="444"/>
      <c r="BF15" s="336"/>
    </row>
    <row r="16" spans="1:58" outlineLevel="1" x14ac:dyDescent="0.35">
      <c r="A16" s="336">
        <f>ROW()</f>
        <v>16</v>
      </c>
      <c r="B16" s="464" t="s">
        <v>48</v>
      </c>
      <c r="C16" s="465" t="s">
        <v>892</v>
      </c>
      <c r="D16" s="467">
        <v>1320264855.1100001</v>
      </c>
      <c r="E16" s="1305">
        <f>'Common Adj'!E37</f>
        <v>42653066.143237561</v>
      </c>
      <c r="F16" s="468">
        <f>'Common Adj'!W68</f>
        <v>-727661685.21031713</v>
      </c>
      <c r="G16" s="468">
        <f>'Common Adj'!AO20</f>
        <v>-90596.170162767172</v>
      </c>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9"/>
      <c r="AQ16" s="469"/>
      <c r="AR16" s="469"/>
      <c r="AS16" s="1289"/>
      <c r="AT16" s="469"/>
      <c r="AU16" s="469"/>
      <c r="AV16" s="469"/>
      <c r="AW16" s="469"/>
      <c r="AX16" s="469"/>
      <c r="AY16" s="469"/>
      <c r="AZ16" s="469"/>
      <c r="BB16" s="467">
        <f>SUM(E16:AZ16)</f>
        <v>-685099215.23724234</v>
      </c>
      <c r="BC16" s="467">
        <f>+BB16+D16</f>
        <v>635165639.87275779</v>
      </c>
      <c r="BD16" s="444"/>
      <c r="BE16" s="173"/>
      <c r="BF16" s="336"/>
    </row>
    <row r="17" spans="1:58" outlineLevel="1" x14ac:dyDescent="0.35">
      <c r="A17" s="336">
        <f>ROW()</f>
        <v>17</v>
      </c>
      <c r="B17" s="464" t="s">
        <v>49</v>
      </c>
      <c r="C17" s="465" t="s">
        <v>892</v>
      </c>
      <c r="D17" s="470">
        <v>0</v>
      </c>
      <c r="E17" s="1306"/>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2"/>
      <c r="AQ17" s="472"/>
      <c r="AR17" s="472"/>
      <c r="AS17" s="1290"/>
      <c r="AT17" s="472"/>
      <c r="AU17" s="472"/>
      <c r="AV17" s="472"/>
      <c r="AW17" s="472"/>
      <c r="AX17" s="472"/>
      <c r="AY17" s="472"/>
      <c r="AZ17" s="472"/>
      <c r="BB17" s="470">
        <f>SUM(E17:AZ17)</f>
        <v>0</v>
      </c>
      <c r="BC17" s="470">
        <f>+BB17+D17</f>
        <v>0</v>
      </c>
      <c r="BD17" s="444"/>
      <c r="BE17" s="173"/>
      <c r="BF17" s="336"/>
    </row>
    <row r="18" spans="1:58" outlineLevel="1" x14ac:dyDescent="0.35">
      <c r="A18" s="336">
        <f>ROW()</f>
        <v>18</v>
      </c>
      <c r="B18" s="464" t="s">
        <v>50</v>
      </c>
      <c r="C18" s="465" t="s">
        <v>892</v>
      </c>
      <c r="D18" s="470">
        <v>0</v>
      </c>
      <c r="E18" s="1306"/>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2"/>
      <c r="AQ18" s="472"/>
      <c r="AR18" s="472"/>
      <c r="AS18" s="1290"/>
      <c r="AT18" s="472"/>
      <c r="AU18" s="472"/>
      <c r="AV18" s="472"/>
      <c r="AW18" s="472"/>
      <c r="AX18" s="472"/>
      <c r="AY18" s="472"/>
      <c r="AZ18" s="472"/>
      <c r="BB18" s="470">
        <f>SUM(E18:AZ18)</f>
        <v>0</v>
      </c>
      <c r="BC18" s="470">
        <f>+BB18+D18</f>
        <v>0</v>
      </c>
      <c r="BD18" s="444"/>
      <c r="BE18" s="173"/>
      <c r="BF18" s="336"/>
    </row>
    <row r="19" spans="1:58" outlineLevel="1" x14ac:dyDescent="0.35">
      <c r="A19" s="336">
        <f>ROW()</f>
        <v>19</v>
      </c>
      <c r="B19" s="464" t="s">
        <v>51</v>
      </c>
      <c r="C19" s="465" t="s">
        <v>892</v>
      </c>
      <c r="D19" s="470">
        <v>14367467.789999999</v>
      </c>
      <c r="E19" s="1306">
        <f>'Common Adj'!E54</f>
        <v>111532.00999999978</v>
      </c>
      <c r="F19" s="471">
        <f>'Common Adj'!W69</f>
        <v>11058338.82</v>
      </c>
      <c r="G19" s="471"/>
      <c r="H19" s="471"/>
      <c r="I19" s="471"/>
      <c r="J19" s="471"/>
      <c r="K19" s="471"/>
      <c r="L19" s="471"/>
      <c r="M19" s="471"/>
      <c r="N19" s="471"/>
      <c r="O19" s="471"/>
      <c r="P19" s="471"/>
      <c r="Q19" s="471"/>
      <c r="R19" s="471"/>
      <c r="S19" s="471"/>
      <c r="T19" s="471"/>
      <c r="U19" s="471"/>
      <c r="V19" s="471"/>
      <c r="W19" s="471"/>
      <c r="X19" s="471"/>
      <c r="Y19" s="471"/>
      <c r="Z19" s="471"/>
      <c r="AA19" s="471"/>
      <c r="AB19" s="471">
        <f>+'Common Adj'!PC38</f>
        <v>-3844168.62</v>
      </c>
      <c r="AC19" s="471"/>
      <c r="AD19" s="471"/>
      <c r="AE19" s="471"/>
      <c r="AF19" s="471"/>
      <c r="AG19" s="471"/>
      <c r="AH19" s="471"/>
      <c r="AI19" s="471"/>
      <c r="AJ19" s="471"/>
      <c r="AK19" s="471">
        <f>'Common Adj'!UB19</f>
        <v>0</v>
      </c>
      <c r="AL19" s="471"/>
      <c r="AM19" s="471"/>
      <c r="AN19" s="471"/>
      <c r="AO19" s="471"/>
      <c r="AP19" s="472"/>
      <c r="AQ19" s="472"/>
      <c r="AR19" s="472"/>
      <c r="AS19" s="1290"/>
      <c r="AT19" s="472"/>
      <c r="AU19" s="472"/>
      <c r="AV19" s="472"/>
      <c r="AW19" s="472"/>
      <c r="AX19" s="472"/>
      <c r="AY19" s="472"/>
      <c r="AZ19" s="472"/>
      <c r="BB19" s="470">
        <f>SUM(E19:AZ19)</f>
        <v>7325702.21</v>
      </c>
      <c r="BC19" s="470">
        <f>+BB19+D19</f>
        <v>21693170</v>
      </c>
      <c r="BD19" s="444"/>
      <c r="BE19" s="173"/>
      <c r="BF19" s="336"/>
    </row>
    <row r="20" spans="1:58" outlineLevel="1" x14ac:dyDescent="0.35">
      <c r="A20" s="336">
        <f>ROW()</f>
        <v>20</v>
      </c>
      <c r="B20" s="464" t="s">
        <v>58</v>
      </c>
      <c r="C20" s="465" t="s">
        <v>892</v>
      </c>
      <c r="D20" s="473">
        <f t="shared" ref="D20:E20" si="0">SUM(D16:D19)</f>
        <v>1334632322.9000001</v>
      </c>
      <c r="E20" s="1307">
        <f t="shared" si="0"/>
        <v>42764598.153237559</v>
      </c>
      <c r="F20" s="474">
        <f t="shared" ref="F20:AI20" si="1">SUM(F16:F19)</f>
        <v>-716603346.39031708</v>
      </c>
      <c r="G20" s="474">
        <f t="shared" si="1"/>
        <v>-90596.170162767172</v>
      </c>
      <c r="H20" s="474">
        <f t="shared" si="1"/>
        <v>0</v>
      </c>
      <c r="I20" s="474">
        <f t="shared" si="1"/>
        <v>0</v>
      </c>
      <c r="J20" s="474">
        <f t="shared" si="1"/>
        <v>0</v>
      </c>
      <c r="K20" s="474">
        <f t="shared" si="1"/>
        <v>0</v>
      </c>
      <c r="L20" s="474">
        <f t="shared" si="1"/>
        <v>0</v>
      </c>
      <c r="M20" s="474">
        <f t="shared" si="1"/>
        <v>0</v>
      </c>
      <c r="N20" s="474">
        <f t="shared" si="1"/>
        <v>0</v>
      </c>
      <c r="O20" s="474">
        <f t="shared" si="1"/>
        <v>0</v>
      </c>
      <c r="P20" s="474">
        <f t="shared" si="1"/>
        <v>0</v>
      </c>
      <c r="Q20" s="474">
        <f t="shared" si="1"/>
        <v>0</v>
      </c>
      <c r="R20" s="474">
        <f t="shared" si="1"/>
        <v>0</v>
      </c>
      <c r="S20" s="474">
        <f t="shared" si="1"/>
        <v>0</v>
      </c>
      <c r="T20" s="474">
        <f t="shared" si="1"/>
        <v>0</v>
      </c>
      <c r="U20" s="474">
        <f t="shared" si="1"/>
        <v>0</v>
      </c>
      <c r="V20" s="474">
        <f t="shared" si="1"/>
        <v>0</v>
      </c>
      <c r="W20" s="474">
        <f t="shared" si="1"/>
        <v>0</v>
      </c>
      <c r="X20" s="474">
        <f t="shared" si="1"/>
        <v>0</v>
      </c>
      <c r="Y20" s="474">
        <f t="shared" si="1"/>
        <v>0</v>
      </c>
      <c r="Z20" s="474">
        <f t="shared" si="1"/>
        <v>0</v>
      </c>
      <c r="AA20" s="474">
        <f t="shared" si="1"/>
        <v>0</v>
      </c>
      <c r="AB20" s="474">
        <f t="shared" si="1"/>
        <v>-3844168.62</v>
      </c>
      <c r="AC20" s="474">
        <f t="shared" si="1"/>
        <v>0</v>
      </c>
      <c r="AD20" s="474">
        <f t="shared" ref="AD20" si="2">SUM(AD16:AD19)</f>
        <v>0</v>
      </c>
      <c r="AE20" s="474">
        <f t="shared" si="1"/>
        <v>0</v>
      </c>
      <c r="AF20" s="474">
        <f t="shared" si="1"/>
        <v>0</v>
      </c>
      <c r="AG20" s="474">
        <f t="shared" si="1"/>
        <v>0</v>
      </c>
      <c r="AH20" s="474">
        <f t="shared" si="1"/>
        <v>0</v>
      </c>
      <c r="AI20" s="474">
        <f t="shared" si="1"/>
        <v>0</v>
      </c>
      <c r="AJ20" s="474"/>
      <c r="AK20" s="474">
        <f t="shared" ref="AK20:AN20" si="3">SUM(AK16:AK19)</f>
        <v>0</v>
      </c>
      <c r="AL20" s="474">
        <f t="shared" si="3"/>
        <v>0</v>
      </c>
      <c r="AM20" s="474">
        <f t="shared" si="3"/>
        <v>0</v>
      </c>
      <c r="AN20" s="474">
        <f t="shared" si="3"/>
        <v>0</v>
      </c>
      <c r="AO20" s="474">
        <f t="shared" ref="AO20" si="4">SUM(AO16:AO19)</f>
        <v>0</v>
      </c>
      <c r="AP20" s="436">
        <f t="shared" ref="AP20:AR20" si="5">SUM(AP16:AP19)</f>
        <v>0</v>
      </c>
      <c r="AQ20" s="436">
        <f t="shared" si="5"/>
        <v>0</v>
      </c>
      <c r="AR20" s="436">
        <f t="shared" si="5"/>
        <v>0</v>
      </c>
      <c r="AS20" s="1291">
        <f t="shared" ref="AS20" si="6">SUM(AS16:AS19)</f>
        <v>0</v>
      </c>
      <c r="AT20" s="436"/>
      <c r="AU20" s="436"/>
      <c r="AV20" s="436"/>
      <c r="AW20" s="436"/>
      <c r="AX20" s="436"/>
      <c r="AY20" s="436"/>
      <c r="AZ20" s="436"/>
      <c r="BB20" s="473">
        <f>SUM(BB16:BB19)</f>
        <v>-677773513.0272423</v>
      </c>
      <c r="BC20" s="473">
        <f>SUM(BC16:BC19)</f>
        <v>656858809.87275779</v>
      </c>
      <c r="BD20" s="444"/>
      <c r="BE20" s="173"/>
      <c r="BF20" s="336"/>
    </row>
    <row r="21" spans="1:58" s="475" customFormat="1" ht="14" outlineLevel="1" x14ac:dyDescent="0.3">
      <c r="A21" s="336">
        <f>ROW()</f>
        <v>21</v>
      </c>
      <c r="C21" s="465" t="s">
        <v>892</v>
      </c>
      <c r="D21" s="470"/>
      <c r="E21" s="1306"/>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2"/>
      <c r="AQ21" s="472"/>
      <c r="AR21" s="472"/>
      <c r="AS21" s="1290"/>
      <c r="AT21" s="472"/>
      <c r="AU21" s="472"/>
      <c r="AV21" s="472"/>
      <c r="AW21" s="472"/>
      <c r="AX21" s="472"/>
      <c r="AY21" s="472"/>
      <c r="AZ21" s="472"/>
      <c r="BB21" s="470"/>
      <c r="BC21" s="470"/>
      <c r="BD21" s="444"/>
      <c r="BE21" s="173"/>
      <c r="BF21" s="336"/>
    </row>
    <row r="22" spans="1:58" outlineLevel="1" x14ac:dyDescent="0.35">
      <c r="A22" s="336">
        <f>ROW()</f>
        <v>22</v>
      </c>
      <c r="B22" s="464" t="s">
        <v>52</v>
      </c>
      <c r="C22" s="465" t="s">
        <v>892</v>
      </c>
      <c r="D22" s="466"/>
      <c r="E22" s="1308"/>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S22" s="1279"/>
      <c r="BB22" s="466"/>
      <c r="BC22" s="466"/>
      <c r="BD22" s="444"/>
      <c r="BE22" s="173"/>
      <c r="BF22" s="336"/>
    </row>
    <row r="23" spans="1:58" outlineLevel="1" x14ac:dyDescent="0.35">
      <c r="A23" s="336">
        <f>ROW()</f>
        <v>23</v>
      </c>
      <c r="C23" s="465" t="s">
        <v>892</v>
      </c>
      <c r="D23" s="466"/>
      <c r="E23" s="1308"/>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S23" s="1279"/>
      <c r="BB23" s="466"/>
      <c r="BC23" s="466"/>
      <c r="BD23" s="444"/>
      <c r="BE23" s="173"/>
      <c r="BF23" s="336"/>
    </row>
    <row r="24" spans="1:58" outlineLevel="1" x14ac:dyDescent="0.35">
      <c r="A24" s="336">
        <f>ROW()</f>
        <v>24</v>
      </c>
      <c r="B24" s="464" t="s">
        <v>53</v>
      </c>
      <c r="C24" s="465" t="s">
        <v>892</v>
      </c>
      <c r="D24" s="466"/>
      <c r="E24" s="1308"/>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S24" s="1279"/>
      <c r="BB24" s="466"/>
      <c r="BC24" s="466"/>
      <c r="BD24" s="444"/>
      <c r="BE24" s="173"/>
      <c r="BF24" s="336"/>
    </row>
    <row r="25" spans="1:58" outlineLevel="1" x14ac:dyDescent="0.35">
      <c r="A25" s="336">
        <f>ROW()</f>
        <v>25</v>
      </c>
      <c r="B25" s="464" t="s">
        <v>54</v>
      </c>
      <c r="C25" s="465" t="s">
        <v>892</v>
      </c>
      <c r="D25" s="476">
        <v>0</v>
      </c>
      <c r="E25" s="130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173"/>
      <c r="AQ25" s="173"/>
      <c r="AR25" s="173"/>
      <c r="AS25" s="1292"/>
      <c r="AT25" s="173"/>
      <c r="AU25" s="173"/>
      <c r="AV25" s="173"/>
      <c r="AW25" s="173"/>
      <c r="AX25" s="173"/>
      <c r="AY25" s="173"/>
      <c r="AZ25" s="173"/>
      <c r="BB25" s="476">
        <f>SUM(E25:AZ25)</f>
        <v>0</v>
      </c>
      <c r="BC25" s="476">
        <f>+BB25+D25</f>
        <v>0</v>
      </c>
      <c r="BD25" s="444"/>
      <c r="BE25" s="173"/>
      <c r="BF25" s="336"/>
    </row>
    <row r="26" spans="1:58" outlineLevel="1" x14ac:dyDescent="0.35">
      <c r="A26" s="336">
        <f>ROW()</f>
        <v>26</v>
      </c>
      <c r="B26" s="464" t="s">
        <v>55</v>
      </c>
      <c r="C26" s="465" t="s">
        <v>892</v>
      </c>
      <c r="D26" s="470">
        <v>710474541.38000011</v>
      </c>
      <c r="E26" s="1306">
        <f>'Common Adj'!E62</f>
        <v>0</v>
      </c>
      <c r="F26" s="471">
        <f>'Common Adj'!W72</f>
        <v>-581461939.38</v>
      </c>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f>'Common Adj'!UB32</f>
        <v>-129012602</v>
      </c>
      <c r="AL26" s="471"/>
      <c r="AM26" s="471"/>
      <c r="AN26" s="471"/>
      <c r="AO26" s="471"/>
      <c r="AP26" s="472"/>
      <c r="AQ26" s="472"/>
      <c r="AR26" s="472"/>
      <c r="AS26" s="1290"/>
      <c r="AT26" s="472"/>
      <c r="AU26" s="472"/>
      <c r="AV26" s="472"/>
      <c r="AW26" s="472"/>
      <c r="AX26" s="472"/>
      <c r="AY26" s="472"/>
      <c r="AZ26" s="472"/>
      <c r="BB26" s="470">
        <f>SUM(E26:AZ26)</f>
        <v>-710474541.38</v>
      </c>
      <c r="BC26" s="470">
        <f>+BB26+D26</f>
        <v>0</v>
      </c>
      <c r="BD26" s="444"/>
      <c r="BE26" s="173"/>
      <c r="BF26" s="336"/>
    </row>
    <row r="27" spans="1:58" outlineLevel="1" x14ac:dyDescent="0.35">
      <c r="A27" s="336">
        <f>ROW()</f>
        <v>27</v>
      </c>
      <c r="B27" s="464" t="s">
        <v>56</v>
      </c>
      <c r="C27" s="465" t="s">
        <v>892</v>
      </c>
      <c r="D27" s="470">
        <v>0</v>
      </c>
      <c r="E27" s="1306"/>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2"/>
      <c r="AQ27" s="472"/>
      <c r="AR27" s="472"/>
      <c r="AS27" s="1290"/>
      <c r="AT27" s="472"/>
      <c r="AU27" s="472"/>
      <c r="AV27" s="472"/>
      <c r="AW27" s="472"/>
      <c r="AX27" s="472"/>
      <c r="AY27" s="472"/>
      <c r="AZ27" s="472"/>
      <c r="BB27" s="470">
        <f>SUM(E27:AZ27)</f>
        <v>0</v>
      </c>
      <c r="BC27" s="470">
        <f>+BB27+D27</f>
        <v>0</v>
      </c>
      <c r="BD27" s="444"/>
      <c r="BE27" s="173"/>
      <c r="BF27" s="336"/>
    </row>
    <row r="28" spans="1:58" outlineLevel="1" x14ac:dyDescent="0.35">
      <c r="A28" s="336">
        <f>ROW()</f>
        <v>28</v>
      </c>
      <c r="B28" s="329" t="s">
        <v>57</v>
      </c>
      <c r="C28" s="465" t="s">
        <v>892</v>
      </c>
      <c r="D28" s="470">
        <v>0</v>
      </c>
      <c r="E28" s="1306"/>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2"/>
      <c r="AQ28" s="472"/>
      <c r="AR28" s="472"/>
      <c r="AS28" s="1290"/>
      <c r="AT28" s="472"/>
      <c r="AU28" s="472"/>
      <c r="AV28" s="472"/>
      <c r="AW28" s="472"/>
      <c r="AX28" s="472"/>
      <c r="AY28" s="472"/>
      <c r="AZ28" s="472"/>
      <c r="BB28" s="470">
        <f>SUM(E28:AZ28)</f>
        <v>0</v>
      </c>
      <c r="BC28" s="470">
        <f>+BB28+D28</f>
        <v>0</v>
      </c>
      <c r="BD28" s="444"/>
      <c r="BE28" s="173"/>
      <c r="BF28" s="336"/>
    </row>
    <row r="29" spans="1:58" outlineLevel="1" x14ac:dyDescent="0.35">
      <c r="A29" s="336">
        <f>ROW()</f>
        <v>29</v>
      </c>
      <c r="B29" s="464" t="s">
        <v>1</v>
      </c>
      <c r="C29" s="465" t="s">
        <v>892</v>
      </c>
      <c r="D29" s="477">
        <f t="shared" ref="D29:AD29" si="7">SUM(D24:D28)</f>
        <v>710474541.38000011</v>
      </c>
      <c r="E29" s="1310">
        <f t="shared" si="7"/>
        <v>0</v>
      </c>
      <c r="F29" s="479">
        <f t="shared" si="7"/>
        <v>-581461939.38</v>
      </c>
      <c r="G29" s="479">
        <f t="shared" si="7"/>
        <v>0</v>
      </c>
      <c r="H29" s="479">
        <f t="shared" si="7"/>
        <v>0</v>
      </c>
      <c r="I29" s="479">
        <f t="shared" si="7"/>
        <v>0</v>
      </c>
      <c r="J29" s="479">
        <f t="shared" si="7"/>
        <v>0</v>
      </c>
      <c r="K29" s="479">
        <f t="shared" si="7"/>
        <v>0</v>
      </c>
      <c r="L29" s="479">
        <f t="shared" si="7"/>
        <v>0</v>
      </c>
      <c r="M29" s="479">
        <f t="shared" si="7"/>
        <v>0</v>
      </c>
      <c r="N29" s="479">
        <f t="shared" si="7"/>
        <v>0</v>
      </c>
      <c r="O29" s="479">
        <f t="shared" si="7"/>
        <v>0</v>
      </c>
      <c r="P29" s="479">
        <f t="shared" si="7"/>
        <v>0</v>
      </c>
      <c r="Q29" s="479">
        <f t="shared" si="7"/>
        <v>0</v>
      </c>
      <c r="R29" s="479">
        <f t="shared" si="7"/>
        <v>0</v>
      </c>
      <c r="S29" s="479">
        <f t="shared" si="7"/>
        <v>0</v>
      </c>
      <c r="T29" s="479">
        <f t="shared" si="7"/>
        <v>0</v>
      </c>
      <c r="U29" s="479">
        <f t="shared" si="7"/>
        <v>0</v>
      </c>
      <c r="V29" s="479">
        <f t="shared" si="7"/>
        <v>0</v>
      </c>
      <c r="W29" s="479">
        <f t="shared" si="7"/>
        <v>0</v>
      </c>
      <c r="X29" s="479">
        <f t="shared" si="7"/>
        <v>0</v>
      </c>
      <c r="Y29" s="479">
        <f>SUM(Y24:Y28)</f>
        <v>0</v>
      </c>
      <c r="Z29" s="479">
        <f t="shared" si="7"/>
        <v>0</v>
      </c>
      <c r="AA29" s="479">
        <f t="shared" si="7"/>
        <v>0</v>
      </c>
      <c r="AB29" s="479">
        <f t="shared" si="7"/>
        <v>0</v>
      </c>
      <c r="AC29" s="479">
        <f t="shared" si="7"/>
        <v>0</v>
      </c>
      <c r="AD29" s="479">
        <f t="shared" si="7"/>
        <v>0</v>
      </c>
      <c r="AE29" s="479"/>
      <c r="AF29" s="479"/>
      <c r="AG29" s="479"/>
      <c r="AH29" s="479"/>
      <c r="AI29" s="479">
        <f t="shared" ref="AI29:AR29" si="8">SUM(AI24:AI28)</f>
        <v>0</v>
      </c>
      <c r="AJ29" s="479"/>
      <c r="AK29" s="479">
        <f t="shared" ref="AK29:AN29" si="9">SUM(AK24:AK28)</f>
        <v>-129012602</v>
      </c>
      <c r="AL29" s="479">
        <f t="shared" si="9"/>
        <v>0</v>
      </c>
      <c r="AM29" s="479">
        <f t="shared" si="9"/>
        <v>0</v>
      </c>
      <c r="AN29" s="479">
        <f t="shared" si="9"/>
        <v>0</v>
      </c>
      <c r="AO29" s="479">
        <f t="shared" ref="AO29" si="10">SUM(AO24:AO28)</f>
        <v>0</v>
      </c>
      <c r="AP29" s="479">
        <f t="shared" si="8"/>
        <v>0</v>
      </c>
      <c r="AQ29" s="479">
        <f t="shared" si="8"/>
        <v>0</v>
      </c>
      <c r="AR29" s="479">
        <f t="shared" si="8"/>
        <v>0</v>
      </c>
      <c r="AS29" s="1293">
        <f t="shared" ref="AS29" si="11">SUM(AS24:AS28)</f>
        <v>0</v>
      </c>
      <c r="AT29" s="479"/>
      <c r="AU29" s="479"/>
      <c r="AV29" s="479"/>
      <c r="AW29" s="479"/>
      <c r="AX29" s="479"/>
      <c r="AY29" s="479"/>
      <c r="AZ29" s="479"/>
      <c r="BB29" s="477">
        <f>SUM(BB24:BB28)</f>
        <v>-710474541.38</v>
      </c>
      <c r="BC29" s="477">
        <f>SUM(BC24:BC28)</f>
        <v>0</v>
      </c>
      <c r="BD29" s="444"/>
      <c r="BE29" s="173"/>
      <c r="BF29" s="336"/>
    </row>
    <row r="30" spans="1:58" outlineLevel="1" x14ac:dyDescent="0.35">
      <c r="A30" s="336">
        <f>ROW()</f>
        <v>30</v>
      </c>
      <c r="B30" s="464"/>
      <c r="C30" s="465" t="s">
        <v>892</v>
      </c>
      <c r="D30" s="476"/>
      <c r="E30" s="1309"/>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292"/>
      <c r="AT30" s="173"/>
      <c r="AU30" s="173"/>
      <c r="AV30" s="173"/>
      <c r="AW30" s="173"/>
      <c r="AX30" s="173"/>
      <c r="AY30" s="173"/>
      <c r="AZ30" s="173"/>
      <c r="BB30" s="476"/>
      <c r="BC30" s="476"/>
      <c r="BD30" s="444"/>
      <c r="BE30" s="173"/>
      <c r="BF30" s="336"/>
    </row>
    <row r="31" spans="1:58" outlineLevel="1" x14ac:dyDescent="0.35">
      <c r="A31" s="336">
        <f>ROW()</f>
        <v>31</v>
      </c>
      <c r="B31" s="480" t="s">
        <v>59</v>
      </c>
      <c r="C31" s="465" t="s">
        <v>892</v>
      </c>
      <c r="D31" s="470">
        <v>7668314.0300000003</v>
      </c>
      <c r="E31" s="1306"/>
      <c r="F31" s="471"/>
      <c r="G31" s="471"/>
      <c r="H31" s="471"/>
      <c r="I31" s="471"/>
      <c r="J31" s="471"/>
      <c r="K31" s="471"/>
      <c r="L31" s="471"/>
      <c r="M31" s="471"/>
      <c r="N31" s="471"/>
      <c r="O31" s="471">
        <f>'Common Adj'!GC18+'Common Adj'!GC17+'Common Adj'!GC19</f>
        <v>-102343.12273683809</v>
      </c>
      <c r="P31" s="471"/>
      <c r="Q31" s="471"/>
      <c r="R31" s="471"/>
      <c r="S31" s="471"/>
      <c r="T31" s="471"/>
      <c r="U31" s="471"/>
      <c r="V31" s="471">
        <f>'Common Adj'!KY17+'Common Adj'!KY18+'Common Adj'!KY19</f>
        <v>285393.51245643897</v>
      </c>
      <c r="W31" s="471"/>
      <c r="X31" s="471"/>
      <c r="Y31" s="471"/>
      <c r="Z31" s="471"/>
      <c r="AA31" s="471"/>
      <c r="AB31" s="471"/>
      <c r="AC31" s="471"/>
      <c r="AD31" s="471"/>
      <c r="AE31" s="471"/>
      <c r="AF31" s="471"/>
      <c r="AG31" s="471"/>
      <c r="AH31" s="471"/>
      <c r="AI31" s="471"/>
      <c r="AJ31" s="471"/>
      <c r="AK31" s="471"/>
      <c r="AL31" s="471"/>
      <c r="AM31" s="471"/>
      <c r="AN31" s="471"/>
      <c r="AO31" s="471"/>
      <c r="AP31" s="173"/>
      <c r="AQ31" s="173"/>
      <c r="AR31" s="173"/>
      <c r="AS31" s="1292"/>
      <c r="AT31" s="173"/>
      <c r="AU31" s="173"/>
      <c r="AV31" s="173"/>
      <c r="AW31" s="173"/>
      <c r="AX31" s="173"/>
      <c r="AY31" s="173"/>
      <c r="AZ31" s="173"/>
      <c r="BB31" s="470">
        <f t="shared" ref="BB31:BB44" si="12">SUM(E31:AZ31)</f>
        <v>183050.38971960088</v>
      </c>
      <c r="BC31" s="476">
        <f t="shared" ref="BC31:BC44" si="13">+BB31+D31</f>
        <v>7851364.4197196011</v>
      </c>
      <c r="BD31" s="444"/>
      <c r="BE31" s="173"/>
      <c r="BF31" s="336"/>
    </row>
    <row r="32" spans="1:58" outlineLevel="1" x14ac:dyDescent="0.35">
      <c r="A32" s="336">
        <f>ROW()</f>
        <v>32</v>
      </c>
      <c r="B32" s="464" t="s">
        <v>60</v>
      </c>
      <c r="C32" s="465" t="s">
        <v>892</v>
      </c>
      <c r="D32" s="470">
        <v>0</v>
      </c>
      <c r="E32" s="1306"/>
      <c r="F32" s="471"/>
      <c r="G32" s="471"/>
      <c r="H32" s="471"/>
      <c r="I32" s="471"/>
      <c r="J32" s="471"/>
      <c r="K32" s="471"/>
      <c r="L32" s="471"/>
      <c r="M32" s="471"/>
      <c r="N32" s="471"/>
      <c r="O32" s="471"/>
      <c r="P32" s="471"/>
      <c r="Q32" s="471"/>
      <c r="R32" s="471"/>
      <c r="S32" s="471"/>
      <c r="T32" s="471"/>
      <c r="U32" s="471"/>
      <c r="V32" s="471">
        <f>+'Common Adj'!KY20</f>
        <v>0</v>
      </c>
      <c r="W32" s="471"/>
      <c r="X32" s="471"/>
      <c r="Y32" s="471"/>
      <c r="Z32" s="471"/>
      <c r="AA32" s="471"/>
      <c r="AB32" s="471"/>
      <c r="AC32" s="471"/>
      <c r="AD32" s="471"/>
      <c r="AE32" s="471"/>
      <c r="AF32" s="471"/>
      <c r="AG32" s="471"/>
      <c r="AH32" s="471"/>
      <c r="AI32" s="471"/>
      <c r="AJ32" s="471"/>
      <c r="AK32" s="471"/>
      <c r="AL32" s="471"/>
      <c r="AM32" s="471"/>
      <c r="AN32" s="471"/>
      <c r="AO32" s="471"/>
      <c r="AP32" s="472"/>
      <c r="AQ32" s="472"/>
      <c r="AR32" s="472"/>
      <c r="AS32" s="1290"/>
      <c r="AT32" s="472"/>
      <c r="AU32" s="472"/>
      <c r="AV32" s="472"/>
      <c r="AW32" s="472"/>
      <c r="AX32" s="472"/>
      <c r="AY32" s="472"/>
      <c r="AZ32" s="472"/>
      <c r="BB32" s="470">
        <f t="shared" si="12"/>
        <v>0</v>
      </c>
      <c r="BC32" s="470">
        <f t="shared" si="13"/>
        <v>0</v>
      </c>
      <c r="BD32" s="444"/>
      <c r="BE32" s="173"/>
      <c r="BF32" s="336"/>
    </row>
    <row r="33" spans="1:58" outlineLevel="1" x14ac:dyDescent="0.35">
      <c r="A33" s="336">
        <f>ROW()</f>
        <v>33</v>
      </c>
      <c r="B33" s="464" t="s">
        <v>61</v>
      </c>
      <c r="C33" s="465" t="s">
        <v>892</v>
      </c>
      <c r="D33" s="470">
        <v>64058520.619999997</v>
      </c>
      <c r="E33" s="1306"/>
      <c r="F33" s="471"/>
      <c r="G33" s="471"/>
      <c r="H33" s="471"/>
      <c r="I33" s="471"/>
      <c r="J33" s="471"/>
      <c r="K33" s="471"/>
      <c r="L33" s="471"/>
      <c r="M33" s="471"/>
      <c r="N33" s="471"/>
      <c r="O33" s="471">
        <f>'Common Adj'!GC21</f>
        <v>-663619.96648559347</v>
      </c>
      <c r="P33" s="471"/>
      <c r="Q33" s="471"/>
      <c r="R33" s="471"/>
      <c r="S33" s="471"/>
      <c r="T33" s="471"/>
      <c r="U33" s="471"/>
      <c r="V33" s="471">
        <f>+'Common Adj'!KY21</f>
        <v>949028.27199034393</v>
      </c>
      <c r="W33" s="471"/>
      <c r="X33" s="471"/>
      <c r="Y33" s="471"/>
      <c r="Z33" s="471"/>
      <c r="AA33" s="471"/>
      <c r="AB33" s="471"/>
      <c r="AC33" s="471"/>
      <c r="AD33" s="471"/>
      <c r="AE33" s="471"/>
      <c r="AF33" s="471"/>
      <c r="AG33" s="471"/>
      <c r="AH33" s="471"/>
      <c r="AI33" s="471"/>
      <c r="AJ33" s="471"/>
      <c r="AK33" s="471"/>
      <c r="AL33" s="471"/>
      <c r="AM33" s="471"/>
      <c r="AN33" s="471"/>
      <c r="AO33" s="471"/>
      <c r="AP33" s="472"/>
      <c r="AQ33" s="472"/>
      <c r="AR33" s="472"/>
      <c r="AS33" s="1290"/>
      <c r="AT33" s="472"/>
      <c r="AU33" s="472"/>
      <c r="AV33" s="472"/>
      <c r="AW33" s="472"/>
      <c r="AX33" s="472"/>
      <c r="AY33" s="472"/>
      <c r="AZ33" s="472"/>
      <c r="BB33" s="470">
        <f t="shared" si="12"/>
        <v>285408.30550475046</v>
      </c>
      <c r="BC33" s="470">
        <f t="shared" si="13"/>
        <v>64343928.925504744</v>
      </c>
      <c r="BD33" s="444"/>
      <c r="BE33" s="173"/>
      <c r="BF33" s="336"/>
    </row>
    <row r="34" spans="1:58" outlineLevel="1" x14ac:dyDescent="0.35">
      <c r="A34" s="336">
        <f>ROW()</f>
        <v>34</v>
      </c>
      <c r="B34" s="464" t="s">
        <v>62</v>
      </c>
      <c r="C34" s="465" t="s">
        <v>892</v>
      </c>
      <c r="D34" s="470">
        <v>25951482.239999998</v>
      </c>
      <c r="E34" s="1306">
        <f>'Common Adj'!E64</f>
        <v>123632.45326100978</v>
      </c>
      <c r="F34" s="471">
        <f>'Common Adj'!W73</f>
        <v>-2072558.6235161237</v>
      </c>
      <c r="G34" s="471">
        <f>'Common Adj'!AO22</f>
        <v>-261.9135279405599</v>
      </c>
      <c r="H34" s="471"/>
      <c r="I34" s="471"/>
      <c r="J34" s="471">
        <f>'Common Adj'!CQ17</f>
        <v>-269672.36803698959</v>
      </c>
      <c r="K34" s="471"/>
      <c r="L34" s="471"/>
      <c r="M34" s="471"/>
      <c r="N34" s="471"/>
      <c r="O34" s="471">
        <f>'Common Adj'!GC22</f>
        <v>-149741.13523320132</v>
      </c>
      <c r="P34" s="471"/>
      <c r="Q34" s="471"/>
      <c r="R34" s="471"/>
      <c r="S34" s="471"/>
      <c r="T34" s="471"/>
      <c r="U34" s="471"/>
      <c r="V34" s="471">
        <f>+'Common Adj'!KY22</f>
        <v>191846.74656400736</v>
      </c>
      <c r="W34" s="471"/>
      <c r="X34" s="471"/>
      <c r="Y34" s="471"/>
      <c r="Z34" s="471"/>
      <c r="AA34" s="471"/>
      <c r="AB34" s="471">
        <f>'Common Adj'!PC41</f>
        <v>-11113.49148042</v>
      </c>
      <c r="AC34" s="471"/>
      <c r="AD34" s="471"/>
      <c r="AE34" s="471"/>
      <c r="AF34" s="471"/>
      <c r="AG34" s="471"/>
      <c r="AH34" s="471"/>
      <c r="AI34" s="471"/>
      <c r="AJ34" s="471"/>
      <c r="AK34" s="471">
        <f>'Common Adj'!UB21</f>
        <v>0</v>
      </c>
      <c r="AL34" s="471"/>
      <c r="AM34" s="471"/>
      <c r="AN34" s="471"/>
      <c r="AO34" s="471"/>
      <c r="AP34" s="472"/>
      <c r="AQ34" s="472"/>
      <c r="AR34" s="472"/>
      <c r="AS34" s="1290"/>
      <c r="AT34" s="472"/>
      <c r="AU34" s="472"/>
      <c r="AV34" s="472"/>
      <c r="AW34" s="472"/>
      <c r="AX34" s="472"/>
      <c r="AY34" s="472"/>
      <c r="AZ34" s="472"/>
      <c r="BB34" s="470">
        <f t="shared" si="12"/>
        <v>-2187868.3319696574</v>
      </c>
      <c r="BC34" s="470">
        <f t="shared" si="13"/>
        <v>23763613.908030342</v>
      </c>
      <c r="BD34" s="444"/>
      <c r="BE34" s="173"/>
      <c r="BF34" s="336"/>
    </row>
    <row r="35" spans="1:58" outlineLevel="1" x14ac:dyDescent="0.35">
      <c r="A35" s="336">
        <f>ROW()</f>
        <v>35</v>
      </c>
      <c r="B35" s="464" t="s">
        <v>63</v>
      </c>
      <c r="C35" s="465" t="s">
        <v>892</v>
      </c>
      <c r="D35" s="470">
        <v>4633246.5</v>
      </c>
      <c r="E35" s="1306"/>
      <c r="F35" s="471">
        <f>'Common Adj'!W74</f>
        <v>-2874088.03</v>
      </c>
      <c r="G35" s="471"/>
      <c r="H35" s="471"/>
      <c r="I35" s="471"/>
      <c r="J35" s="471"/>
      <c r="K35" s="471"/>
      <c r="L35" s="471"/>
      <c r="M35" s="471"/>
      <c r="N35" s="471"/>
      <c r="O35" s="471">
        <f>'Common Adj'!GC23+'Common Adj'!GC24</f>
        <v>-22685.764463297979</v>
      </c>
      <c r="P35" s="471"/>
      <c r="Q35" s="471">
        <f>'Common Adj'!HM16</f>
        <v>30503.742766919091</v>
      </c>
      <c r="R35" s="471">
        <f>'Common Adj'!IE18</f>
        <v>550639.31938240037</v>
      </c>
      <c r="S35" s="471"/>
      <c r="T35" s="471"/>
      <c r="U35" s="471"/>
      <c r="V35" s="471">
        <f>+'Common Adj'!KY23</f>
        <v>78515.927254621871</v>
      </c>
      <c r="W35" s="471"/>
      <c r="X35" s="471"/>
      <c r="Y35" s="471"/>
      <c r="Z35" s="471"/>
      <c r="AA35" s="471"/>
      <c r="AB35" s="471"/>
      <c r="AC35" s="471"/>
      <c r="AD35" s="471"/>
      <c r="AE35" s="471"/>
      <c r="AF35" s="471"/>
      <c r="AG35" s="471"/>
      <c r="AH35" s="471"/>
      <c r="AI35" s="471"/>
      <c r="AJ35" s="471"/>
      <c r="AK35" s="471"/>
      <c r="AL35" s="471"/>
      <c r="AM35" s="471"/>
      <c r="AN35" s="471"/>
      <c r="AO35" s="471"/>
      <c r="AP35" s="472"/>
      <c r="AQ35" s="472"/>
      <c r="AR35" s="472"/>
      <c r="AS35" s="1290"/>
      <c r="AT35" s="472"/>
      <c r="AU35" s="472"/>
      <c r="AV35" s="472"/>
      <c r="AW35" s="472"/>
      <c r="AX35" s="472"/>
      <c r="AY35" s="472"/>
      <c r="AZ35" s="472"/>
      <c r="BB35" s="470">
        <f t="shared" si="12"/>
        <v>-2237114.8050593566</v>
      </c>
      <c r="BC35" s="470">
        <f t="shared" si="13"/>
        <v>2396131.6949406434</v>
      </c>
      <c r="BD35" s="444"/>
      <c r="BE35" s="173"/>
      <c r="BF35" s="336"/>
    </row>
    <row r="36" spans="1:58" outlineLevel="1" x14ac:dyDescent="0.35">
      <c r="A36" s="336">
        <f>ROW()</f>
        <v>36</v>
      </c>
      <c r="B36" s="464" t="s">
        <v>64</v>
      </c>
      <c r="C36" s="465" t="s">
        <v>892</v>
      </c>
      <c r="D36" s="470">
        <v>22395680.359999999</v>
      </c>
      <c r="E36" s="1306"/>
      <c r="F36" s="471">
        <f>'Common Adj'!W75</f>
        <v>-22395680.359999999</v>
      </c>
      <c r="G36" s="471"/>
      <c r="H36" s="471"/>
      <c r="I36" s="471"/>
      <c r="J36" s="471"/>
      <c r="K36" s="471"/>
      <c r="L36" s="471"/>
      <c r="M36" s="471"/>
      <c r="N36" s="471"/>
      <c r="O36" s="471"/>
      <c r="P36" s="471"/>
      <c r="Q36" s="471"/>
      <c r="R36" s="471"/>
      <c r="S36" s="471"/>
      <c r="T36" s="471"/>
      <c r="U36" s="471"/>
      <c r="V36" s="471">
        <f>+'Common Adj'!KY24</f>
        <v>0</v>
      </c>
      <c r="W36" s="471"/>
      <c r="X36" s="471"/>
      <c r="Y36" s="471"/>
      <c r="Z36" s="471"/>
      <c r="AA36" s="471"/>
      <c r="AB36" s="471"/>
      <c r="AC36" s="471"/>
      <c r="AD36" s="471"/>
      <c r="AE36" s="471"/>
      <c r="AF36" s="471"/>
      <c r="AG36" s="471"/>
      <c r="AH36" s="471"/>
      <c r="AI36" s="471"/>
      <c r="AJ36" s="471"/>
      <c r="AK36" s="471"/>
      <c r="AL36" s="471"/>
      <c r="AM36" s="471"/>
      <c r="AN36" s="471"/>
      <c r="AO36" s="471"/>
      <c r="AP36" s="472"/>
      <c r="AQ36" s="472"/>
      <c r="AR36" s="472"/>
      <c r="AS36" s="1290"/>
      <c r="AT36" s="472"/>
      <c r="AU36" s="472"/>
      <c r="AV36" s="472"/>
      <c r="AW36" s="472"/>
      <c r="AX36" s="471"/>
      <c r="AY36" s="472"/>
      <c r="AZ36" s="472"/>
      <c r="BB36" s="470">
        <f t="shared" si="12"/>
        <v>-22395680.359999999</v>
      </c>
      <c r="BC36" s="470">
        <f t="shared" si="13"/>
        <v>0</v>
      </c>
      <c r="BD36" s="444"/>
      <c r="BE36" s="173"/>
      <c r="BF36" s="336"/>
    </row>
    <row r="37" spans="1:58" outlineLevel="1" x14ac:dyDescent="0.35">
      <c r="A37" s="336">
        <f>ROW()</f>
        <v>37</v>
      </c>
      <c r="B37" s="464" t="s">
        <v>65</v>
      </c>
      <c r="C37" s="465" t="s">
        <v>892</v>
      </c>
      <c r="D37" s="470">
        <v>73412663.579999998</v>
      </c>
      <c r="E37" s="1306">
        <f>'Common Adj'!E65</f>
        <v>171058.39261295024</v>
      </c>
      <c r="F37" s="471">
        <f>'Common Adj'!W76</f>
        <v>-2892962.261060012</v>
      </c>
      <c r="G37" s="471">
        <f>'Common Adj'!AO23</f>
        <v>-362.38468065106872</v>
      </c>
      <c r="H37" s="471"/>
      <c r="I37" s="471"/>
      <c r="J37" s="471"/>
      <c r="K37" s="471">
        <f>'Common Adj'!DI19</f>
        <v>232169.01142999995</v>
      </c>
      <c r="L37" s="471"/>
      <c r="M37" s="471">
        <f>'Common Adj'!ES23</f>
        <v>-17289.176081915386</v>
      </c>
      <c r="N37" s="471">
        <f>'Common Adj'!FK20</f>
        <v>-24042.600429258582</v>
      </c>
      <c r="O37" s="471">
        <f>'Common Adj'!GC25</f>
        <v>-347581.16605476255</v>
      </c>
      <c r="P37" s="471">
        <f>'Common Adj'!GU32</f>
        <v>191286.54157686234</v>
      </c>
      <c r="Q37" s="471"/>
      <c r="R37" s="471"/>
      <c r="S37" s="471"/>
      <c r="T37" s="471">
        <f>'Common Adj'!JO20</f>
        <v>-16580.372792206952</v>
      </c>
      <c r="U37" s="471">
        <f>'Common Adj'!KG17</f>
        <v>1414165.1287299758</v>
      </c>
      <c r="V37" s="471">
        <f>+'Common Adj'!KY25</f>
        <v>2036434.6902016662</v>
      </c>
      <c r="W37" s="471"/>
      <c r="X37" s="471"/>
      <c r="Y37" s="471">
        <f>'Common Adj'!NA20</f>
        <v>-18253.489559999667</v>
      </c>
      <c r="Z37" s="471"/>
      <c r="AA37" s="471"/>
      <c r="AB37" s="471">
        <f>'Common Adj'!PC42</f>
        <v>-15376.674480000001</v>
      </c>
      <c r="AC37" s="471"/>
      <c r="AD37" s="471"/>
      <c r="AE37" s="471"/>
      <c r="AF37" s="471"/>
      <c r="AG37" s="471"/>
      <c r="AH37" s="471"/>
      <c r="AI37" s="471"/>
      <c r="AJ37" s="471"/>
      <c r="AK37" s="471">
        <f>'Common Adj'!UB22</f>
        <v>0</v>
      </c>
      <c r="AL37" s="471"/>
      <c r="AM37" s="471">
        <f>'Common Adj'!TI18</f>
        <v>-87457</v>
      </c>
      <c r="AN37" s="471"/>
      <c r="AO37" s="471"/>
      <c r="AP37" s="472"/>
      <c r="AQ37" s="472"/>
      <c r="AR37" s="472"/>
      <c r="AS37" s="1290"/>
      <c r="AT37" s="472"/>
      <c r="AU37" s="472"/>
      <c r="AV37" s="472"/>
      <c r="AW37" s="472"/>
      <c r="AX37" s="471"/>
      <c r="AY37" s="472"/>
      <c r="AZ37" s="472"/>
      <c r="BB37" s="470">
        <f t="shared" si="12"/>
        <v>625208.63941264804</v>
      </c>
      <c r="BC37" s="470">
        <f t="shared" si="13"/>
        <v>74037872.21941264</v>
      </c>
      <c r="BD37" s="444"/>
      <c r="BE37" s="173"/>
      <c r="BF37" s="336"/>
    </row>
    <row r="38" spans="1:58" outlineLevel="1" x14ac:dyDescent="0.35">
      <c r="A38" s="336">
        <f>ROW()</f>
        <v>38</v>
      </c>
      <c r="B38" s="464" t="s">
        <v>66</v>
      </c>
      <c r="C38" s="465" t="s">
        <v>892</v>
      </c>
      <c r="D38" s="470">
        <v>164838105.41999999</v>
      </c>
      <c r="E38" s="1306"/>
      <c r="F38" s="471"/>
      <c r="G38" s="471"/>
      <c r="H38" s="471"/>
      <c r="I38" s="471"/>
      <c r="J38" s="471"/>
      <c r="K38" s="471"/>
      <c r="L38" s="471"/>
      <c r="M38" s="471"/>
      <c r="N38" s="471"/>
      <c r="O38" s="471"/>
      <c r="P38" s="471"/>
      <c r="Q38" s="471"/>
      <c r="R38" s="471"/>
      <c r="S38" s="471"/>
      <c r="T38" s="471"/>
      <c r="U38" s="471"/>
      <c r="V38" s="471"/>
      <c r="W38" s="471"/>
      <c r="X38" s="471">
        <f>'Common Adj'!MI16+'Common Adj'!MI17+'Common Adj'!MI21+'Common Adj'!MI22</f>
        <v>12682496.739731345</v>
      </c>
      <c r="Y38" s="471"/>
      <c r="Z38" s="471"/>
      <c r="AA38" s="471">
        <f>'Common Adj'!OK32</f>
        <v>0</v>
      </c>
      <c r="AB38" s="471"/>
      <c r="AC38" s="471"/>
      <c r="AD38" s="471"/>
      <c r="AE38" s="471"/>
      <c r="AF38" s="471">
        <f>'Common Adj'!RX16+'Common Adj'!RX17</f>
        <v>0</v>
      </c>
      <c r="AG38" s="471"/>
      <c r="AH38" s="471"/>
      <c r="AI38" s="471"/>
      <c r="AJ38" s="471"/>
      <c r="AK38" s="471"/>
      <c r="AL38" s="471"/>
      <c r="AM38" s="471"/>
      <c r="AN38" s="471"/>
      <c r="AO38" s="471"/>
      <c r="AP38" s="173"/>
      <c r="AQ38" s="173"/>
      <c r="AR38" s="173">
        <f>'Gas Adj'!CQ25</f>
        <v>-689507.20602600183</v>
      </c>
      <c r="AS38" s="1290"/>
      <c r="AT38" s="173"/>
      <c r="AU38" s="173"/>
      <c r="AV38" s="173"/>
      <c r="AW38" s="173"/>
      <c r="AX38" s="420"/>
      <c r="AY38" s="173"/>
      <c r="AZ38" s="173"/>
      <c r="BB38" s="470">
        <f t="shared" si="12"/>
        <v>11992989.533705343</v>
      </c>
      <c r="BC38" s="470">
        <f t="shared" si="13"/>
        <v>176831094.95370534</v>
      </c>
      <c r="BD38" s="444"/>
      <c r="BE38" s="173"/>
      <c r="BF38" s="336"/>
    </row>
    <row r="39" spans="1:58" outlineLevel="1" x14ac:dyDescent="0.35">
      <c r="A39" s="336">
        <f>ROW()</f>
        <v>39</v>
      </c>
      <c r="B39" s="464" t="s">
        <v>67</v>
      </c>
      <c r="C39" s="465" t="s">
        <v>892</v>
      </c>
      <c r="D39" s="470">
        <v>29349151.43</v>
      </c>
      <c r="E39" s="1306"/>
      <c r="F39" s="471"/>
      <c r="G39" s="471"/>
      <c r="H39" s="471"/>
      <c r="I39" s="471"/>
      <c r="J39" s="471"/>
      <c r="K39" s="471"/>
      <c r="L39" s="471"/>
      <c r="M39" s="471"/>
      <c r="N39" s="471"/>
      <c r="O39" s="471"/>
      <c r="P39" s="471"/>
      <c r="Q39" s="471"/>
      <c r="R39" s="471"/>
      <c r="S39" s="471"/>
      <c r="T39" s="471"/>
      <c r="U39" s="471"/>
      <c r="V39" s="471"/>
      <c r="W39" s="471"/>
      <c r="X39" s="471">
        <f>'Common Adj'!MI18+'Common Adj'!MI19+'Common Adj'!MI23+'Common Adj'!MI24</f>
        <v>-4044078.1971255038</v>
      </c>
      <c r="Y39" s="471"/>
      <c r="Z39" s="471"/>
      <c r="AA39" s="471"/>
      <c r="AB39" s="471"/>
      <c r="AC39" s="471"/>
      <c r="AD39" s="471"/>
      <c r="AE39" s="471"/>
      <c r="AF39" s="471">
        <f>'Common Adj'!RX18+'Common Adj'!RX19</f>
        <v>0</v>
      </c>
      <c r="AG39" s="471"/>
      <c r="AH39" s="471"/>
      <c r="AI39" s="471"/>
      <c r="AJ39" s="471"/>
      <c r="AK39" s="471"/>
      <c r="AL39" s="471"/>
      <c r="AM39" s="471"/>
      <c r="AN39" s="471"/>
      <c r="AO39" s="471"/>
      <c r="AP39" s="472"/>
      <c r="AQ39" s="472"/>
      <c r="AR39" s="472">
        <f>'Gas Adj'!CQ26</f>
        <v>-149248.62199999983</v>
      </c>
      <c r="AS39" s="1290"/>
      <c r="AT39" s="472"/>
      <c r="AU39" s="472"/>
      <c r="AV39" s="472"/>
      <c r="AW39" s="472"/>
      <c r="AX39" s="471"/>
      <c r="AY39" s="472"/>
      <c r="AZ39" s="472"/>
      <c r="BB39" s="470">
        <f t="shared" si="12"/>
        <v>-4193326.8191255038</v>
      </c>
      <c r="BC39" s="470">
        <f t="shared" si="13"/>
        <v>25155824.610874496</v>
      </c>
      <c r="BD39" s="444"/>
      <c r="BE39" s="173"/>
      <c r="BF39" s="336"/>
    </row>
    <row r="40" spans="1:58" outlineLevel="1" x14ac:dyDescent="0.35">
      <c r="A40" s="336">
        <f>ROW()</f>
        <v>40</v>
      </c>
      <c r="B40" s="480" t="s">
        <v>68</v>
      </c>
      <c r="C40" s="465" t="s">
        <v>892</v>
      </c>
      <c r="D40" s="470">
        <v>0</v>
      </c>
      <c r="E40" s="1306"/>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2"/>
      <c r="AQ40" s="472"/>
      <c r="AR40" s="472"/>
      <c r="AS40" s="1290"/>
      <c r="AT40" s="472"/>
      <c r="AU40" s="472"/>
      <c r="AV40" s="472"/>
      <c r="AW40" s="472"/>
      <c r="AX40" s="471"/>
      <c r="AY40" s="472"/>
      <c r="AZ40" s="472"/>
      <c r="BB40" s="470">
        <f t="shared" si="12"/>
        <v>0</v>
      </c>
      <c r="BC40" s="470">
        <f t="shared" si="13"/>
        <v>0</v>
      </c>
      <c r="BD40" s="444"/>
      <c r="BE40" s="173"/>
      <c r="BF40" s="336"/>
    </row>
    <row r="41" spans="1:58" outlineLevel="1" x14ac:dyDescent="0.35">
      <c r="A41" s="336">
        <f>ROW()</f>
        <v>41</v>
      </c>
      <c r="B41" s="464" t="s">
        <v>69</v>
      </c>
      <c r="C41" s="465" t="s">
        <v>892</v>
      </c>
      <c r="D41" s="470">
        <v>-124060557.32999998</v>
      </c>
      <c r="E41" s="1306"/>
      <c r="F41" s="471"/>
      <c r="G41" s="471"/>
      <c r="H41" s="471"/>
      <c r="I41" s="471"/>
      <c r="J41" s="471"/>
      <c r="K41" s="471"/>
      <c r="L41" s="471"/>
      <c r="M41" s="471"/>
      <c r="N41" s="471"/>
      <c r="O41" s="471"/>
      <c r="P41" s="471"/>
      <c r="Q41" s="471"/>
      <c r="R41" s="471"/>
      <c r="S41" s="471">
        <f>'Common Adj'!IW18</f>
        <v>984867.936666667</v>
      </c>
      <c r="T41" s="471"/>
      <c r="U41" s="471"/>
      <c r="V41" s="471"/>
      <c r="W41" s="471"/>
      <c r="X41" s="471"/>
      <c r="Y41" s="471"/>
      <c r="Z41" s="471"/>
      <c r="AA41" s="471"/>
      <c r="AB41" s="471"/>
      <c r="AC41" s="471">
        <f>'Common Adj'!PU17</f>
        <v>338867.23404892068</v>
      </c>
      <c r="AD41" s="471"/>
      <c r="AE41" s="471"/>
      <c r="AF41" s="471"/>
      <c r="AG41" s="471"/>
      <c r="AH41" s="471"/>
      <c r="AI41" s="471"/>
      <c r="AJ41" s="471"/>
      <c r="AK41" s="471">
        <f>'Common Adj'!UB34-'Common Adj'!UB32</f>
        <v>131168189.513</v>
      </c>
      <c r="AL41" s="471">
        <f>'Common Adj'!UU24</f>
        <v>1614927.4900000002</v>
      </c>
      <c r="AM41" s="471"/>
      <c r="AN41" s="471">
        <f>'Common Adj'!VN17</f>
        <v>0</v>
      </c>
      <c r="AO41" s="471"/>
      <c r="AP41" s="472">
        <f>'Gas Adj'!BG38</f>
        <v>0</v>
      </c>
      <c r="AQ41" s="472">
        <f>'Gas Adj'!BY44</f>
        <v>0</v>
      </c>
      <c r="AR41" s="472"/>
      <c r="AS41" s="1290"/>
      <c r="AT41" s="472"/>
      <c r="AU41" s="472"/>
      <c r="AV41" s="472"/>
      <c r="AW41" s="472"/>
      <c r="AX41" s="471"/>
      <c r="AY41" s="472"/>
      <c r="AZ41" s="472"/>
      <c r="BB41" s="470">
        <f t="shared" si="12"/>
        <v>134106852.17371558</v>
      </c>
      <c r="BC41" s="470">
        <f t="shared" si="13"/>
        <v>10046294.843715593</v>
      </c>
      <c r="BD41" s="444"/>
      <c r="BE41" s="173"/>
      <c r="BF41" s="336"/>
    </row>
    <row r="42" spans="1:58" outlineLevel="1" x14ac:dyDescent="0.35">
      <c r="A42" s="336">
        <f>ROW()</f>
        <v>42</v>
      </c>
      <c r="B42" s="464" t="s">
        <v>70</v>
      </c>
      <c r="C42" s="465" t="s">
        <v>892</v>
      </c>
      <c r="D42" s="470">
        <v>136186547.91999999</v>
      </c>
      <c r="E42" s="1306">
        <f>'Common Adj'!E66</f>
        <v>1642545.4504677013</v>
      </c>
      <c r="F42" s="471">
        <f>'Common Adj'!W77</f>
        <v>-107544614.3024285</v>
      </c>
      <c r="G42" s="471">
        <f>'Common Adj'!AO24</f>
        <v>-3479.7082997817242</v>
      </c>
      <c r="H42" s="471"/>
      <c r="I42" s="472"/>
      <c r="J42" s="471"/>
      <c r="K42" s="471"/>
      <c r="L42" s="471">
        <f>'Common Adj'!EA19</f>
        <v>858.74887999892235</v>
      </c>
      <c r="M42" s="471"/>
      <c r="N42" s="471"/>
      <c r="O42" s="471">
        <f>'Common Adj'!GC28</f>
        <v>-113036.86452218764</v>
      </c>
      <c r="P42" s="471"/>
      <c r="Q42" s="471"/>
      <c r="R42" s="471"/>
      <c r="S42" s="471"/>
      <c r="T42" s="471"/>
      <c r="U42" s="471"/>
      <c r="V42" s="471">
        <f>+'Common Adj'!KY28</f>
        <v>161103.54499382243</v>
      </c>
      <c r="W42" s="471"/>
      <c r="X42" s="471"/>
      <c r="Y42" s="471"/>
      <c r="Z42" s="471"/>
      <c r="AA42" s="471"/>
      <c r="AB42" s="471">
        <f>'Common Adj'!PC43</f>
        <v>-147650.67252558001</v>
      </c>
      <c r="AC42" s="471"/>
      <c r="AD42" s="471"/>
      <c r="AE42" s="471"/>
      <c r="AF42" s="471"/>
      <c r="AG42" s="471"/>
      <c r="AH42" s="471"/>
      <c r="AI42" s="471"/>
      <c r="AJ42" s="471"/>
      <c r="AK42" s="471">
        <f>'Common Adj'!UB23</f>
        <v>0</v>
      </c>
      <c r="AL42" s="471"/>
      <c r="AM42" s="471"/>
      <c r="AN42" s="471"/>
      <c r="AO42" s="471"/>
      <c r="AP42" s="472"/>
      <c r="AQ42" s="472"/>
      <c r="AR42" s="472"/>
      <c r="AS42" s="1290"/>
      <c r="AT42" s="472"/>
      <c r="AU42" s="472"/>
      <c r="AV42" s="472"/>
      <c r="AW42" s="472"/>
      <c r="AX42" s="471"/>
      <c r="AY42" s="472"/>
      <c r="AZ42" s="472"/>
      <c r="BB42" s="470">
        <f t="shared" si="12"/>
        <v>-106004273.80343454</v>
      </c>
      <c r="BC42" s="470">
        <f t="shared" si="13"/>
        <v>30182274.116565451</v>
      </c>
      <c r="BD42" s="444"/>
      <c r="BE42" s="173"/>
      <c r="BF42" s="336"/>
    </row>
    <row r="43" spans="1:58" outlineLevel="1" x14ac:dyDescent="0.35">
      <c r="A43" s="336">
        <f>ROW()</f>
        <v>43</v>
      </c>
      <c r="B43" s="464" t="s">
        <v>71</v>
      </c>
      <c r="C43" s="465" t="s">
        <v>892</v>
      </c>
      <c r="D43" s="470">
        <v>45229648.609999999</v>
      </c>
      <c r="E43" s="1306">
        <f>'Common Adj'!E70</f>
        <v>8573745.9899481367</v>
      </c>
      <c r="F43" s="471">
        <f>'Common Adj'!W78</f>
        <v>554084.2790043425</v>
      </c>
      <c r="G43" s="471">
        <f>'Common Adj'!AO29</f>
        <v>-18163.3543674227</v>
      </c>
      <c r="H43" s="471">
        <f>+'Common Adj'!BG16</f>
        <v>1966089.9118269086</v>
      </c>
      <c r="I43" s="471">
        <f>+'Common Adj'!BY23</f>
        <v>-16074542.57656165</v>
      </c>
      <c r="J43" s="471">
        <f>'Common Adj'!CQ19</f>
        <v>56631.197287767813</v>
      </c>
      <c r="K43" s="471">
        <f>'Common Adj'!DI21</f>
        <v>-48755.492400299991</v>
      </c>
      <c r="L43" s="471">
        <f>'Common Adj'!EA20</f>
        <v>-180.33726479977369</v>
      </c>
      <c r="M43" s="471">
        <f>'Common Adj'!ES25</f>
        <v>3630.726977202231</v>
      </c>
      <c r="N43" s="471">
        <f>'Common Adj'!FK21</f>
        <v>5048.9460901443017</v>
      </c>
      <c r="O43" s="471">
        <f>'Common Adj'!GC31</f>
        <v>293791.68409413501</v>
      </c>
      <c r="P43" s="471">
        <f>'Common Adj'!GU34</f>
        <v>-40170.173731141091</v>
      </c>
      <c r="Q43" s="471"/>
      <c r="R43" s="471">
        <f>'Common Adj'!IE20</f>
        <v>-115634.25707030407</v>
      </c>
      <c r="S43" s="471">
        <f>'Common Adj'!IW21</f>
        <v>-206822.26670000007</v>
      </c>
      <c r="T43" s="471">
        <f>'Common Adj'!JO22</f>
        <v>3481.8782863634588</v>
      </c>
      <c r="U43" s="471">
        <f>'Common Adj'!KG19</f>
        <v>-296974.67703329492</v>
      </c>
      <c r="V43" s="471">
        <f>+'Common Adj'!KY32</f>
        <v>-777487.76562678919</v>
      </c>
      <c r="W43" s="471"/>
      <c r="X43" s="471">
        <f>'Common Adj'!MI29</f>
        <v>-1814067.8939472267</v>
      </c>
      <c r="Y43" s="471">
        <f>'Common Adj'!NA21</f>
        <v>3833.2328075999299</v>
      </c>
      <c r="Z43" s="471"/>
      <c r="AA43" s="471">
        <f>'Common Adj'!OK34</f>
        <v>0</v>
      </c>
      <c r="AB43" s="471">
        <f>+'Common Adj'!PC52</f>
        <v>-770705.83411794004</v>
      </c>
      <c r="AC43" s="471">
        <f>'Common Adj'!PU20</f>
        <v>-71162.119150273342</v>
      </c>
      <c r="AD43" s="471"/>
      <c r="AE43" s="471"/>
      <c r="AF43" s="471">
        <f>'Common Adj'!RX28</f>
        <v>0</v>
      </c>
      <c r="AG43" s="471"/>
      <c r="AH43" s="471"/>
      <c r="AI43" s="471"/>
      <c r="AJ43" s="471"/>
      <c r="AK43" s="471">
        <f>'Common Adj'!UB37</f>
        <v>-452673.37772999925</v>
      </c>
      <c r="AL43" s="471">
        <f>'Common Adj'!UU26</f>
        <v>-339134.77290000004</v>
      </c>
      <c r="AM43" s="471">
        <f>'Common Adj'!TI23</f>
        <v>18365.969999999998</v>
      </c>
      <c r="AN43" s="471">
        <f>'Common Adj'!VN31</f>
        <v>0</v>
      </c>
      <c r="AO43" s="471"/>
      <c r="AP43" s="481">
        <f>'Gas Adj'!BG48</f>
        <v>0</v>
      </c>
      <c r="AQ43" s="481">
        <f>'Gas Adj'!BY46</f>
        <v>0</v>
      </c>
      <c r="AR43" s="481">
        <f>'Gas Adj'!CQ29</f>
        <v>176138.72388546035</v>
      </c>
      <c r="AS43" s="1290"/>
      <c r="AT43" s="481"/>
      <c r="AU43" s="481"/>
      <c r="AV43" s="481"/>
      <c r="AW43" s="481"/>
      <c r="AX43" s="415"/>
      <c r="AY43" s="481"/>
      <c r="AZ43" s="481"/>
      <c r="BB43" s="470">
        <f t="shared" si="12"/>
        <v>-9371632.3583930787</v>
      </c>
      <c r="BC43" s="470">
        <f t="shared" si="13"/>
        <v>35858016.251606919</v>
      </c>
      <c r="BD43" s="444"/>
      <c r="BE43" s="173"/>
      <c r="BF43" s="336"/>
    </row>
    <row r="44" spans="1:58" outlineLevel="1" x14ac:dyDescent="0.35">
      <c r="A44" s="336">
        <f>ROW()</f>
        <v>44</v>
      </c>
      <c r="B44" s="329" t="s">
        <v>72</v>
      </c>
      <c r="C44" s="465" t="s">
        <v>892</v>
      </c>
      <c r="D44" s="470">
        <v>-7579228.4499999881</v>
      </c>
      <c r="E44" s="1306"/>
      <c r="F44" s="471"/>
      <c r="G44" s="471"/>
      <c r="H44" s="471">
        <v>425511.86349998927</v>
      </c>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2"/>
      <c r="AQ44" s="472"/>
      <c r="AR44" s="472"/>
      <c r="AS44" s="1290"/>
      <c r="AT44" s="472"/>
      <c r="AU44" s="472"/>
      <c r="AV44" s="472"/>
      <c r="AW44" s="472"/>
      <c r="AX44" s="471"/>
      <c r="AY44" s="472"/>
      <c r="AZ44" s="472"/>
      <c r="BB44" s="470">
        <f t="shared" si="12"/>
        <v>425511.86349998927</v>
      </c>
      <c r="BC44" s="470">
        <f t="shared" si="13"/>
        <v>-7153716.5864999983</v>
      </c>
      <c r="BD44" s="444"/>
      <c r="BE44" s="173"/>
      <c r="BF44" s="336"/>
    </row>
    <row r="45" spans="1:58" outlineLevel="1" x14ac:dyDescent="0.35">
      <c r="A45" s="336">
        <f>ROW()</f>
        <v>45</v>
      </c>
      <c r="B45" s="464" t="s">
        <v>2</v>
      </c>
      <c r="C45" s="465" t="s">
        <v>892</v>
      </c>
      <c r="D45" s="477">
        <f t="shared" ref="D45:AI45" si="14">SUM(D29:D44)</f>
        <v>1152558116.3100002</v>
      </c>
      <c r="E45" s="1310">
        <f t="shared" si="14"/>
        <v>10510982.286289798</v>
      </c>
      <c r="F45" s="479">
        <f t="shared" si="14"/>
        <v>-718687758.67800021</v>
      </c>
      <c r="G45" s="479">
        <f t="shared" si="14"/>
        <v>-22267.360875796054</v>
      </c>
      <c r="H45" s="479">
        <f t="shared" si="14"/>
        <v>2391601.7753268979</v>
      </c>
      <c r="I45" s="479">
        <f t="shared" si="14"/>
        <v>-16074542.57656165</v>
      </c>
      <c r="J45" s="479">
        <f t="shared" si="14"/>
        <v>-213041.17074922178</v>
      </c>
      <c r="K45" s="479">
        <f t="shared" si="14"/>
        <v>183413.51902969996</v>
      </c>
      <c r="L45" s="479">
        <f t="shared" si="14"/>
        <v>678.41161519914863</v>
      </c>
      <c r="M45" s="479">
        <f t="shared" si="14"/>
        <v>-13658.449104713156</v>
      </c>
      <c r="N45" s="479">
        <f t="shared" si="14"/>
        <v>-18993.65433911428</v>
      </c>
      <c r="O45" s="479">
        <f t="shared" si="14"/>
        <v>-1105216.3354017462</v>
      </c>
      <c r="P45" s="479">
        <f t="shared" si="14"/>
        <v>151116.36784572125</v>
      </c>
      <c r="Q45" s="479">
        <f t="shared" si="14"/>
        <v>30503.742766919091</v>
      </c>
      <c r="R45" s="479">
        <f t="shared" si="14"/>
        <v>435005.0623120963</v>
      </c>
      <c r="S45" s="479">
        <f t="shared" si="14"/>
        <v>778045.66996666696</v>
      </c>
      <c r="T45" s="479">
        <f t="shared" si="14"/>
        <v>-13098.494505843493</v>
      </c>
      <c r="U45" s="479">
        <f t="shared" si="14"/>
        <v>1117190.4516966809</v>
      </c>
      <c r="V45" s="479">
        <f t="shared" si="14"/>
        <v>2924834.9278341117</v>
      </c>
      <c r="W45" s="479">
        <f t="shared" si="14"/>
        <v>0</v>
      </c>
      <c r="X45" s="479">
        <f t="shared" si="14"/>
        <v>6824350.6486586146</v>
      </c>
      <c r="Y45" s="479">
        <f>SUM(Y29:Y44)</f>
        <v>-14420.256752399737</v>
      </c>
      <c r="Z45" s="479">
        <f t="shared" si="14"/>
        <v>0</v>
      </c>
      <c r="AA45" s="479">
        <f t="shared" si="14"/>
        <v>0</v>
      </c>
      <c r="AB45" s="479">
        <f t="shared" si="14"/>
        <v>-944846.67260394013</v>
      </c>
      <c r="AC45" s="479">
        <f t="shared" ref="AC45:AD45" si="15">SUM(AC40:AC44)</f>
        <v>267705.11489864736</v>
      </c>
      <c r="AD45" s="479">
        <f t="shared" si="15"/>
        <v>0</v>
      </c>
      <c r="AE45" s="479"/>
      <c r="AF45" s="479">
        <f t="shared" ref="AF45" si="16">SUM(AF29:AF44)</f>
        <v>0</v>
      </c>
      <c r="AG45" s="479"/>
      <c r="AH45" s="479"/>
      <c r="AI45" s="479">
        <f t="shared" si="14"/>
        <v>0</v>
      </c>
      <c r="AJ45" s="479"/>
      <c r="AK45" s="479">
        <f t="shared" ref="AK45:AN45" si="17">SUM(AK29:AK44)</f>
        <v>1702914.1352699972</v>
      </c>
      <c r="AL45" s="479">
        <f t="shared" si="17"/>
        <v>1275792.7171000002</v>
      </c>
      <c r="AM45" s="479">
        <f t="shared" si="17"/>
        <v>-69091.03</v>
      </c>
      <c r="AN45" s="479">
        <f t="shared" si="17"/>
        <v>0</v>
      </c>
      <c r="AO45" s="479">
        <f t="shared" ref="AO45" si="18">SUM(AO29:AO44)</f>
        <v>0</v>
      </c>
      <c r="AP45" s="479">
        <f t="shared" ref="AP45:BC45" si="19">SUM(AP29:AP44)</f>
        <v>0</v>
      </c>
      <c r="AQ45" s="479">
        <f t="shared" si="19"/>
        <v>0</v>
      </c>
      <c r="AR45" s="479">
        <f t="shared" si="19"/>
        <v>-662617.10414054128</v>
      </c>
      <c r="AS45" s="1293">
        <f t="shared" ref="AS45" si="20">SUM(AS29:AS44)</f>
        <v>0</v>
      </c>
      <c r="AT45" s="479"/>
      <c r="AU45" s="479"/>
      <c r="AV45" s="479"/>
      <c r="AW45" s="479"/>
      <c r="AX45" s="478"/>
      <c r="AY45" s="479"/>
      <c r="AZ45" s="479"/>
      <c r="BB45" s="477">
        <f t="shared" si="19"/>
        <v>-709245416.95242405</v>
      </c>
      <c r="BC45" s="477">
        <f t="shared" si="19"/>
        <v>443312699.35757583</v>
      </c>
      <c r="BD45" s="444"/>
      <c r="BE45" s="173"/>
      <c r="BF45" s="336"/>
    </row>
    <row r="46" spans="1:58" outlineLevel="1" x14ac:dyDescent="0.35">
      <c r="A46" s="336">
        <f>ROW()</f>
        <v>46</v>
      </c>
      <c r="C46" s="465" t="s">
        <v>892</v>
      </c>
      <c r="D46" s="482"/>
      <c r="E46" s="1311"/>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1294"/>
      <c r="AT46" s="483"/>
      <c r="AU46" s="483"/>
      <c r="AV46" s="483"/>
      <c r="AW46" s="483"/>
      <c r="AX46" s="363"/>
      <c r="AY46" s="483"/>
      <c r="AZ46" s="483"/>
      <c r="BB46" s="482"/>
      <c r="BC46" s="482"/>
      <c r="BD46" s="444"/>
      <c r="BE46" s="173"/>
      <c r="BF46" s="336"/>
    </row>
    <row r="47" spans="1:58" ht="15" outlineLevel="1" thickBot="1" x14ac:dyDescent="0.4">
      <c r="A47" s="336">
        <f>ROW()</f>
        <v>47</v>
      </c>
      <c r="B47" s="329" t="s">
        <v>4</v>
      </c>
      <c r="C47" s="465" t="s">
        <v>892</v>
      </c>
      <c r="D47" s="484">
        <f t="shared" ref="D47:AI47" si="21">+D20-D45</f>
        <v>182074206.58999991</v>
      </c>
      <c r="E47" s="1312">
        <f t="shared" si="21"/>
        <v>32253615.866947763</v>
      </c>
      <c r="F47" s="486">
        <f t="shared" si="21"/>
        <v>2084412.2876831293</v>
      </c>
      <c r="G47" s="486">
        <f>+G20-G45</f>
        <v>-68328.809286971111</v>
      </c>
      <c r="H47" s="486">
        <f t="shared" si="21"/>
        <v>-2391601.7753268979</v>
      </c>
      <c r="I47" s="486">
        <f t="shared" si="21"/>
        <v>16074542.57656165</v>
      </c>
      <c r="J47" s="486">
        <f t="shared" si="21"/>
        <v>213041.17074922178</v>
      </c>
      <c r="K47" s="486">
        <f t="shared" si="21"/>
        <v>-183413.51902969996</v>
      </c>
      <c r="L47" s="486">
        <f t="shared" si="21"/>
        <v>-678.41161519914863</v>
      </c>
      <c r="M47" s="486">
        <f t="shared" si="21"/>
        <v>13658.449104713156</v>
      </c>
      <c r="N47" s="486">
        <f t="shared" si="21"/>
        <v>18993.65433911428</v>
      </c>
      <c r="O47" s="486">
        <f t="shared" si="21"/>
        <v>1105216.3354017462</v>
      </c>
      <c r="P47" s="486">
        <f t="shared" si="21"/>
        <v>-151116.36784572125</v>
      </c>
      <c r="Q47" s="486">
        <f t="shared" si="21"/>
        <v>-30503.742766919091</v>
      </c>
      <c r="R47" s="486">
        <f t="shared" si="21"/>
        <v>-435005.0623120963</v>
      </c>
      <c r="S47" s="486">
        <f t="shared" si="21"/>
        <v>-778045.66996666696</v>
      </c>
      <c r="T47" s="486">
        <f t="shared" si="21"/>
        <v>13098.494505843493</v>
      </c>
      <c r="U47" s="486">
        <f t="shared" si="21"/>
        <v>-1117190.4516966809</v>
      </c>
      <c r="V47" s="486">
        <f t="shared" si="21"/>
        <v>-2924834.9278341117</v>
      </c>
      <c r="W47" s="486">
        <f t="shared" si="21"/>
        <v>0</v>
      </c>
      <c r="X47" s="486">
        <f t="shared" si="21"/>
        <v>-6824350.6486586146</v>
      </c>
      <c r="Y47" s="486">
        <f>+Y20-Y45</f>
        <v>14420.256752399737</v>
      </c>
      <c r="Z47" s="486">
        <f t="shared" si="21"/>
        <v>0</v>
      </c>
      <c r="AA47" s="486">
        <f t="shared" si="21"/>
        <v>0</v>
      </c>
      <c r="AB47" s="486">
        <f t="shared" si="21"/>
        <v>-2899321.94739606</v>
      </c>
      <c r="AC47" s="486">
        <f t="shared" si="21"/>
        <v>-267705.11489864736</v>
      </c>
      <c r="AD47" s="486">
        <f t="shared" si="21"/>
        <v>0</v>
      </c>
      <c r="AE47" s="486"/>
      <c r="AF47" s="486">
        <f t="shared" ref="AF47" si="22">+AF20-AF45</f>
        <v>0</v>
      </c>
      <c r="AG47" s="486"/>
      <c r="AH47" s="486"/>
      <c r="AI47" s="486">
        <f t="shared" si="21"/>
        <v>0</v>
      </c>
      <c r="AJ47" s="486"/>
      <c r="AK47" s="486">
        <f t="shared" ref="AK47:AN47" si="23">+AK20-AK45</f>
        <v>-1702914.1352699972</v>
      </c>
      <c r="AL47" s="486">
        <f t="shared" si="23"/>
        <v>-1275792.7171000002</v>
      </c>
      <c r="AM47" s="486">
        <f t="shared" si="23"/>
        <v>69091.03</v>
      </c>
      <c r="AN47" s="486">
        <f t="shared" si="23"/>
        <v>0</v>
      </c>
      <c r="AO47" s="486">
        <f t="shared" ref="AO47" si="24">+AO20-AO45</f>
        <v>0</v>
      </c>
      <c r="AP47" s="486">
        <f t="shared" ref="AP47:BC47" si="25">+AP20-AP45</f>
        <v>0</v>
      </c>
      <c r="AQ47" s="486">
        <f t="shared" si="25"/>
        <v>0</v>
      </c>
      <c r="AR47" s="486">
        <f t="shared" si="25"/>
        <v>662617.10414054128</v>
      </c>
      <c r="AS47" s="1295">
        <f t="shared" ref="AS47" si="26">+AS20-AS45</f>
        <v>0</v>
      </c>
      <c r="AT47" s="486"/>
      <c r="AU47" s="486"/>
      <c r="AV47" s="486"/>
      <c r="AW47" s="486"/>
      <c r="AX47" s="485"/>
      <c r="AY47" s="486"/>
      <c r="AZ47" s="486"/>
      <c r="BB47" s="484">
        <f t="shared" si="25"/>
        <v>31471903.925181746</v>
      </c>
      <c r="BC47" s="484">
        <f t="shared" si="25"/>
        <v>213546110.51518196</v>
      </c>
      <c r="BD47" s="444"/>
      <c r="BE47" s="173"/>
      <c r="BF47" s="336"/>
    </row>
    <row r="48" spans="1:58" ht="15" outlineLevel="1" thickTop="1" x14ac:dyDescent="0.35">
      <c r="A48" s="336">
        <f>ROW()</f>
        <v>48</v>
      </c>
      <c r="B48"/>
      <c r="C48" s="465" t="s">
        <v>892</v>
      </c>
      <c r="D48" s="219"/>
      <c r="E48" s="1313"/>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296"/>
      <c r="AT48" s="116"/>
      <c r="AU48" s="116"/>
      <c r="AV48" s="116"/>
      <c r="AW48" s="116"/>
      <c r="AX48" s="416"/>
      <c r="AY48" s="116"/>
      <c r="AZ48" s="116"/>
      <c r="BB48" s="219"/>
      <c r="BC48" s="219"/>
      <c r="BD48" s="444"/>
      <c r="BE48" s="173"/>
      <c r="BF48" s="336"/>
    </row>
    <row r="49" spans="1:58" s="265" customFormat="1" ht="14" outlineLevel="1" x14ac:dyDescent="0.3">
      <c r="A49" s="336">
        <f>ROW()</f>
        <v>49</v>
      </c>
      <c r="B49" s="464" t="s">
        <v>124</v>
      </c>
      <c r="C49" s="465" t="s">
        <v>892</v>
      </c>
      <c r="D49" s="476">
        <f t="shared" ref="D49:AD49" si="27">D60</f>
        <v>2948894387.0453196</v>
      </c>
      <c r="E49" s="1309">
        <f t="shared" si="27"/>
        <v>0</v>
      </c>
      <c r="F49" s="173">
        <f t="shared" si="27"/>
        <v>0</v>
      </c>
      <c r="G49" s="173">
        <f t="shared" si="27"/>
        <v>0</v>
      </c>
      <c r="H49" s="173">
        <f t="shared" si="27"/>
        <v>0</v>
      </c>
      <c r="I49" s="173">
        <f t="shared" si="27"/>
        <v>0</v>
      </c>
      <c r="J49" s="173">
        <f t="shared" si="27"/>
        <v>0</v>
      </c>
      <c r="K49" s="173">
        <f t="shared" si="27"/>
        <v>0</v>
      </c>
      <c r="L49" s="173">
        <f t="shared" si="27"/>
        <v>0</v>
      </c>
      <c r="M49" s="173">
        <f t="shared" si="27"/>
        <v>0</v>
      </c>
      <c r="N49" s="173">
        <f t="shared" si="27"/>
        <v>0</v>
      </c>
      <c r="O49" s="173">
        <f t="shared" si="27"/>
        <v>0</v>
      </c>
      <c r="P49" s="173">
        <f t="shared" si="27"/>
        <v>0</v>
      </c>
      <c r="Q49" s="173">
        <f t="shared" si="27"/>
        <v>0</v>
      </c>
      <c r="R49" s="173">
        <f t="shared" si="27"/>
        <v>0</v>
      </c>
      <c r="S49" s="173">
        <f t="shared" si="27"/>
        <v>0</v>
      </c>
      <c r="T49" s="173">
        <f t="shared" si="27"/>
        <v>0</v>
      </c>
      <c r="U49" s="173">
        <f t="shared" si="27"/>
        <v>0</v>
      </c>
      <c r="V49" s="173">
        <f t="shared" si="27"/>
        <v>0</v>
      </c>
      <c r="W49" s="173">
        <f t="shared" si="27"/>
        <v>50455434.08198075</v>
      </c>
      <c r="X49" s="173">
        <f t="shared" si="27"/>
        <v>-6824350.6486586146</v>
      </c>
      <c r="Y49" s="173">
        <f>Y60</f>
        <v>0</v>
      </c>
      <c r="Z49" s="173">
        <f t="shared" si="27"/>
        <v>0</v>
      </c>
      <c r="AA49" s="173">
        <f t="shared" si="27"/>
        <v>0</v>
      </c>
      <c r="AB49" s="173">
        <f t="shared" si="27"/>
        <v>-57834387.276298791</v>
      </c>
      <c r="AC49" s="173">
        <f t="shared" si="27"/>
        <v>0</v>
      </c>
      <c r="AD49" s="173">
        <f t="shared" si="27"/>
        <v>0</v>
      </c>
      <c r="AE49" s="173"/>
      <c r="AF49" s="173">
        <f>AF60</f>
        <v>0</v>
      </c>
      <c r="AG49" s="173"/>
      <c r="AH49" s="173"/>
      <c r="AI49" s="173"/>
      <c r="AJ49" s="173"/>
      <c r="AK49" s="173"/>
      <c r="AL49" s="173">
        <f>AL60</f>
        <v>0</v>
      </c>
      <c r="AM49" s="173">
        <f t="shared" ref="AM49:AN49" si="28">AM60</f>
        <v>0</v>
      </c>
      <c r="AN49" s="173">
        <f t="shared" si="28"/>
        <v>0</v>
      </c>
      <c r="AO49" s="173"/>
      <c r="AP49" s="173">
        <f>AP60</f>
        <v>0</v>
      </c>
      <c r="AQ49" s="173"/>
      <c r="AR49" s="173">
        <f>AR60</f>
        <v>-24218047.431628965</v>
      </c>
      <c r="AS49" s="1292"/>
      <c r="AT49" s="173"/>
      <c r="AU49" s="173"/>
      <c r="AV49" s="173"/>
      <c r="AW49" s="173"/>
      <c r="AX49" s="420"/>
      <c r="AY49" s="173"/>
      <c r="AZ49" s="173"/>
      <c r="BB49" s="476">
        <f>BB60</f>
        <v>-38421351.274605609</v>
      </c>
      <c r="BC49" s="476">
        <f>BC60</f>
        <v>2910473035.7707138</v>
      </c>
      <c r="BD49" s="444"/>
      <c r="BE49" s="173"/>
      <c r="BF49" s="336"/>
    </row>
    <row r="50" spans="1:58" outlineLevel="1" x14ac:dyDescent="0.35">
      <c r="A50" s="336">
        <f>ROW()</f>
        <v>50</v>
      </c>
      <c r="C50" s="465" t="s">
        <v>892</v>
      </c>
      <c r="D50" s="466"/>
      <c r="E50" s="1308"/>
      <c r="G50"/>
      <c r="H50"/>
      <c r="I50"/>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1297"/>
      <c r="AT50" s="487"/>
      <c r="AU50" s="487"/>
      <c r="AV50" s="487"/>
      <c r="AW50" s="487"/>
      <c r="AX50" s="341"/>
      <c r="BB50" s="466"/>
      <c r="BC50" s="466"/>
      <c r="BD50" s="444"/>
      <c r="BE50" s="173"/>
      <c r="BF50" s="336"/>
    </row>
    <row r="51" spans="1:58" outlineLevel="1" x14ac:dyDescent="0.35">
      <c r="A51" s="336">
        <f>ROW()</f>
        <v>51</v>
      </c>
      <c r="B51" s="464" t="s">
        <v>125</v>
      </c>
      <c r="C51" s="465" t="s">
        <v>892</v>
      </c>
      <c r="D51" s="488">
        <f>+D47/D49</f>
        <v>6.1743210401112865E-2</v>
      </c>
      <c r="E51" s="1306"/>
      <c r="F51" s="472"/>
      <c r="G51"/>
      <c r="H51"/>
      <c r="I51"/>
      <c r="J51" s="46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1298"/>
      <c r="AT51" s="489"/>
      <c r="AU51" s="489"/>
      <c r="AV51" s="489"/>
      <c r="AW51" s="489"/>
      <c r="AX51" s="471"/>
      <c r="AY51" s="472"/>
      <c r="AZ51" s="472"/>
      <c r="BB51" s="488"/>
      <c r="BC51" s="488">
        <f>+BC47/BC49</f>
        <v>7.3371616191123187E-2</v>
      </c>
      <c r="BD51" s="444"/>
      <c r="BE51" s="173"/>
      <c r="BF51" s="336"/>
    </row>
    <row r="52" spans="1:58" outlineLevel="1" x14ac:dyDescent="0.35">
      <c r="A52" s="336">
        <f>ROW()</f>
        <v>52</v>
      </c>
      <c r="C52" s="465" t="s">
        <v>892</v>
      </c>
      <c r="D52" s="470"/>
      <c r="E52" s="1306"/>
      <c r="F52" s="472"/>
      <c r="G52"/>
      <c r="H52"/>
      <c r="I5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1290"/>
      <c r="AT52" s="472"/>
      <c r="AU52" s="472"/>
      <c r="AV52" s="472"/>
      <c r="AW52" s="472"/>
      <c r="AX52" s="471"/>
      <c r="AY52" s="472"/>
      <c r="AZ52" s="472"/>
      <c r="BB52" s="470"/>
      <c r="BC52" s="470"/>
      <c r="BD52" s="444"/>
      <c r="BE52" s="173"/>
      <c r="BF52" s="336"/>
    </row>
    <row r="53" spans="1:58" outlineLevel="1" x14ac:dyDescent="0.35">
      <c r="A53" s="336">
        <f>ROW()</f>
        <v>53</v>
      </c>
      <c r="B53" s="329" t="s">
        <v>126</v>
      </c>
      <c r="C53" s="465" t="s">
        <v>892</v>
      </c>
      <c r="D53" s="470"/>
      <c r="E53" s="1306"/>
      <c r="F53" s="472"/>
      <c r="G53"/>
      <c r="H53"/>
      <c r="I53"/>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1290"/>
      <c r="AT53" s="472"/>
      <c r="AU53" s="472"/>
      <c r="AV53" s="472"/>
      <c r="AW53" s="472"/>
      <c r="AX53" s="471"/>
      <c r="AY53" s="472"/>
      <c r="AZ53" s="472"/>
      <c r="BB53" s="470"/>
      <c r="BC53" s="470"/>
      <c r="BD53" s="444"/>
      <c r="BE53" s="173"/>
      <c r="BF53" s="336"/>
    </row>
    <row r="54" spans="1:58" outlineLevel="1" x14ac:dyDescent="0.35">
      <c r="A54" s="336">
        <f>ROW()</f>
        <v>54</v>
      </c>
      <c r="B54" s="490" t="s">
        <v>20</v>
      </c>
      <c r="C54" s="465" t="s">
        <v>892</v>
      </c>
      <c r="D54" s="476">
        <v>5489997433.7842302</v>
      </c>
      <c r="E54" s="1306"/>
      <c r="F54" s="173"/>
      <c r="G54" s="173"/>
      <c r="H54" s="173"/>
      <c r="I54" s="173"/>
      <c r="J54" s="173"/>
      <c r="K54" s="173"/>
      <c r="L54" s="173"/>
      <c r="M54" s="173"/>
      <c r="N54" s="173"/>
      <c r="O54" s="173"/>
      <c r="P54" s="173"/>
      <c r="Q54" s="173"/>
      <c r="R54" s="173"/>
      <c r="S54" s="173"/>
      <c r="T54" s="173"/>
      <c r="U54" s="173"/>
      <c r="V54" s="173"/>
      <c r="W54" s="471">
        <f>'Common Adj'!LQ16</f>
        <v>89690639.215544701</v>
      </c>
      <c r="X54" s="471"/>
      <c r="Y54" s="471"/>
      <c r="Z54" s="471"/>
      <c r="AA54" s="471">
        <f>'Common Adj'!OK18</f>
        <v>0</v>
      </c>
      <c r="AB54" s="471">
        <f>+'Common Adj'!PC21</f>
        <v>-75215094.712953344</v>
      </c>
      <c r="AC54" s="173"/>
      <c r="AD54" s="173"/>
      <c r="AE54" s="173"/>
      <c r="AF54" s="173"/>
      <c r="AG54" s="173"/>
      <c r="AH54" s="173"/>
      <c r="AI54" s="173"/>
      <c r="AJ54" s="173"/>
      <c r="AK54" s="173"/>
      <c r="AL54" s="173"/>
      <c r="AM54" s="173"/>
      <c r="AN54" s="173"/>
      <c r="AO54" s="173"/>
      <c r="AP54" s="173">
        <f>'Gas Adj'!BG19</f>
        <v>0</v>
      </c>
      <c r="AQ54" s="173"/>
      <c r="AR54" s="173">
        <f>'Gas Adj'!CQ18</f>
        <v>-30085058.84</v>
      </c>
      <c r="AS54" s="1292"/>
      <c r="AT54" s="173"/>
      <c r="AU54" s="173"/>
      <c r="AV54" s="173"/>
      <c r="AW54" s="173"/>
      <c r="AX54" s="420"/>
      <c r="AY54" s="173"/>
      <c r="AZ54" s="173"/>
      <c r="BB54" s="476">
        <f t="shared" ref="BB54:BB59" si="29">SUM(E54:AZ54)</f>
        <v>-15609514.337408643</v>
      </c>
      <c r="BC54" s="476">
        <f t="shared" ref="BC54:BC59" si="30">+BB54+D54</f>
        <v>5474387919.4468212</v>
      </c>
      <c r="BD54" s="444"/>
      <c r="BE54" s="173"/>
      <c r="BF54" s="336"/>
    </row>
    <row r="55" spans="1:58" outlineLevel="1" x14ac:dyDescent="0.35">
      <c r="A55" s="336">
        <f>ROW()</f>
        <v>55</v>
      </c>
      <c r="B55" s="490" t="s">
        <v>21</v>
      </c>
      <c r="C55" s="465" t="s">
        <v>892</v>
      </c>
      <c r="D55" s="470">
        <v>-2082138429.1273692</v>
      </c>
      <c r="E55" s="1306"/>
      <c r="F55" s="481"/>
      <c r="G55" s="481"/>
      <c r="H55" s="481"/>
      <c r="I55" s="481"/>
      <c r="J55" s="481"/>
      <c r="K55" s="481"/>
      <c r="L55" s="481"/>
      <c r="M55" s="481"/>
      <c r="N55" s="481"/>
      <c r="O55" s="481"/>
      <c r="P55" s="481"/>
      <c r="Q55" s="481"/>
      <c r="R55" s="481"/>
      <c r="S55" s="481"/>
      <c r="T55" s="481"/>
      <c r="U55" s="481"/>
      <c r="V55" s="481"/>
      <c r="W55" s="471">
        <f>'Common Adj'!LQ17</f>
        <v>-37040806.652540684</v>
      </c>
      <c r="X55" s="481">
        <f>'Common Adj'!MI34</f>
        <v>-8638418.5426058415</v>
      </c>
      <c r="Y55" s="481"/>
      <c r="Z55" s="481"/>
      <c r="AA55" s="481">
        <f>'Common Adj'!OK19</f>
        <v>0</v>
      </c>
      <c r="AB55" s="481">
        <f>+'Common Adj'!PC27</f>
        <v>9233476.6029253639</v>
      </c>
      <c r="AC55" s="481"/>
      <c r="AD55" s="481"/>
      <c r="AE55" s="481"/>
      <c r="AF55" s="481">
        <f>'Common Adj'!RX33</f>
        <v>0</v>
      </c>
      <c r="AG55" s="481"/>
      <c r="AH55" s="481"/>
      <c r="AI55" s="481"/>
      <c r="AJ55" s="481"/>
      <c r="AK55" s="481"/>
      <c r="AL55" s="481"/>
      <c r="AM55" s="481"/>
      <c r="AN55" s="481"/>
      <c r="AO55" s="481"/>
      <c r="AP55" s="173">
        <f>'Gas Adj'!BG20</f>
        <v>0</v>
      </c>
      <c r="AQ55" s="481"/>
      <c r="AR55" s="481">
        <f>'Gas Adj'!CQ19+'Gas Adj'!CQ20</f>
        <v>4426961.4667480709</v>
      </c>
      <c r="AS55" s="1299"/>
      <c r="AT55" s="481"/>
      <c r="AU55" s="481"/>
      <c r="AV55" s="481"/>
      <c r="AW55" s="481"/>
      <c r="AX55" s="415"/>
      <c r="AY55" s="481"/>
      <c r="AZ55" s="481"/>
      <c r="BB55" s="470">
        <f t="shared" si="29"/>
        <v>-32018787.125473086</v>
      </c>
      <c r="BC55" s="470">
        <f t="shared" si="30"/>
        <v>-2114157216.2528422</v>
      </c>
      <c r="BD55" s="444"/>
      <c r="BE55" s="173"/>
      <c r="BF55" s="336"/>
    </row>
    <row r="56" spans="1:58" outlineLevel="1" x14ac:dyDescent="0.35">
      <c r="A56" s="336">
        <f>ROW()</f>
        <v>56</v>
      </c>
      <c r="B56" s="329" t="s">
        <v>127</v>
      </c>
      <c r="C56" s="465" t="s">
        <v>892</v>
      </c>
      <c r="D56" s="470">
        <v>18088017.405854166</v>
      </c>
      <c r="E56" s="1306"/>
      <c r="F56" s="481"/>
      <c r="G56" s="481"/>
      <c r="H56" s="481"/>
      <c r="I56" s="481"/>
      <c r="J56" s="481"/>
      <c r="K56" s="481"/>
      <c r="L56" s="481"/>
      <c r="M56" s="481"/>
      <c r="N56" s="481"/>
      <c r="O56" s="481"/>
      <c r="P56" s="481"/>
      <c r="Q56" s="481"/>
      <c r="R56" s="481"/>
      <c r="S56" s="481"/>
      <c r="T56" s="481"/>
      <c r="U56" s="481"/>
      <c r="V56" s="481"/>
      <c r="W56" s="471">
        <f>'Common Adj'!LQ18</f>
        <v>-1424002.515854165</v>
      </c>
      <c r="X56" s="481"/>
      <c r="Y56" s="481"/>
      <c r="Z56" s="481"/>
      <c r="AA56" s="481"/>
      <c r="AB56" s="481"/>
      <c r="AC56" s="481"/>
      <c r="AD56" s="481"/>
      <c r="AE56" s="481"/>
      <c r="AF56" s="481"/>
      <c r="AG56" s="481"/>
      <c r="AH56" s="481"/>
      <c r="AI56" s="481"/>
      <c r="AJ56" s="481"/>
      <c r="AK56" s="481"/>
      <c r="AL56" s="481">
        <f>'Common Adj'!UU17</f>
        <v>0</v>
      </c>
      <c r="AM56" s="481"/>
      <c r="AN56" s="481"/>
      <c r="AO56" s="481"/>
      <c r="AP56" s="173">
        <f>'Gas Adj'!BG25+'Gas Adj'!BG26</f>
        <v>0</v>
      </c>
      <c r="AQ56" s="481">
        <f>'Gas Adj'!BY25</f>
        <v>0</v>
      </c>
      <c r="AR56" s="481"/>
      <c r="AS56" s="1299"/>
      <c r="AT56" s="481"/>
      <c r="AU56" s="481"/>
      <c r="AV56" s="481"/>
      <c r="AW56" s="481"/>
      <c r="AX56" s="415"/>
      <c r="AY56" s="481"/>
      <c r="AZ56" s="481"/>
      <c r="BB56" s="470">
        <f t="shared" si="29"/>
        <v>-1424002.515854165</v>
      </c>
      <c r="BC56" s="470">
        <f t="shared" si="30"/>
        <v>16664014.890000001</v>
      </c>
      <c r="BD56" s="444"/>
      <c r="BE56" s="173"/>
      <c r="BF56" s="336"/>
    </row>
    <row r="57" spans="1:58" outlineLevel="1" x14ac:dyDescent="0.35">
      <c r="A57" s="336">
        <f>ROW()</f>
        <v>57</v>
      </c>
      <c r="B57" s="329" t="s">
        <v>128</v>
      </c>
      <c r="C57" s="465" t="s">
        <v>892</v>
      </c>
      <c r="D57" s="470">
        <v>-602543825.29567158</v>
      </c>
      <c r="E57" s="1306"/>
      <c r="F57" s="481"/>
      <c r="G57" s="481"/>
      <c r="H57" s="481"/>
      <c r="I57" s="481"/>
      <c r="J57" s="481"/>
      <c r="K57" s="481"/>
      <c r="L57" s="481"/>
      <c r="M57" s="481"/>
      <c r="N57" s="481"/>
      <c r="O57" s="481"/>
      <c r="P57" s="481"/>
      <c r="Q57" s="481"/>
      <c r="R57" s="481"/>
      <c r="S57" s="481"/>
      <c r="T57" s="481"/>
      <c r="U57" s="481"/>
      <c r="V57" s="481"/>
      <c r="W57" s="471">
        <f>'Common Adj'!LQ19</f>
        <v>6893324.6005116701</v>
      </c>
      <c r="X57" s="481">
        <f>'Common Adj'!MI35</f>
        <v>1814067.8939472267</v>
      </c>
      <c r="Y57" s="481"/>
      <c r="Z57" s="481"/>
      <c r="AA57" s="481">
        <f>'Common Adj'!OK20</f>
        <v>0</v>
      </c>
      <c r="AB57" s="481">
        <f>+'Common Adj'!PC33</f>
        <v>8147230.8337291926</v>
      </c>
      <c r="AC57" s="481"/>
      <c r="AD57" s="481"/>
      <c r="AE57" s="481"/>
      <c r="AF57" s="481">
        <f>'Common Adj'!RX34</f>
        <v>0</v>
      </c>
      <c r="AG57" s="481"/>
      <c r="AH57" s="481"/>
      <c r="AI57" s="347"/>
      <c r="AJ57" s="347"/>
      <c r="AK57" s="347"/>
      <c r="AL57" s="265">
        <f>'Common Adj'!UU18</f>
        <v>0</v>
      </c>
      <c r="AM57" s="347"/>
      <c r="AN57" s="347"/>
      <c r="AO57" s="347"/>
      <c r="AP57" s="173">
        <f>'Gas Adj'!BG21+'Gas Adj'!BG29+'Gas Adj'!BG30</f>
        <v>0</v>
      </c>
      <c r="AQ57" s="265">
        <f>'Gas Adj'!BY26</f>
        <v>0</v>
      </c>
      <c r="AR57" s="347">
        <f>'Gas Adj'!CQ21</f>
        <v>1440049.9416229667</v>
      </c>
      <c r="AS57" s="1300"/>
      <c r="AT57" s="265"/>
      <c r="AU57" s="347"/>
      <c r="AV57" s="347"/>
      <c r="AW57" s="347"/>
      <c r="AX57" s="337"/>
      <c r="AY57" s="347"/>
      <c r="AZ57" s="347"/>
      <c r="BB57" s="470">
        <f t="shared" si="29"/>
        <v>18294673.269811057</v>
      </c>
      <c r="BC57" s="470">
        <f t="shared" si="30"/>
        <v>-584249152.02586055</v>
      </c>
      <c r="BD57" s="444"/>
      <c r="BE57" s="173"/>
      <c r="BF57" s="336"/>
    </row>
    <row r="58" spans="1:58" outlineLevel="1" x14ac:dyDescent="0.35">
      <c r="A58" s="336">
        <f>ROW()</f>
        <v>58</v>
      </c>
      <c r="B58" s="329" t="s">
        <v>129</v>
      </c>
      <c r="C58" s="465" t="s">
        <v>892</v>
      </c>
      <c r="D58" s="491">
        <v>127273380.60826026</v>
      </c>
      <c r="E58" s="1306"/>
      <c r="F58" s="481"/>
      <c r="G58" s="481"/>
      <c r="H58" s="481"/>
      <c r="I58" s="481"/>
      <c r="J58" s="481"/>
      <c r="K58" s="481"/>
      <c r="L58" s="481"/>
      <c r="M58" s="481"/>
      <c r="N58" s="481"/>
      <c r="O58" s="481"/>
      <c r="P58" s="481"/>
      <c r="Q58" s="481"/>
      <c r="R58" s="481"/>
      <c r="S58" s="481"/>
      <c r="T58" s="481"/>
      <c r="U58" s="481"/>
      <c r="V58" s="481"/>
      <c r="W58" s="471">
        <f>'Common Adj'!LQ20</f>
        <v>-8245213.3162603527</v>
      </c>
      <c r="X58" s="481"/>
      <c r="Y58" s="481"/>
      <c r="Z58" s="481"/>
      <c r="AA58" s="481"/>
      <c r="AB58" s="481"/>
      <c r="AC58" s="481"/>
      <c r="AD58" s="481"/>
      <c r="AE58" s="481"/>
      <c r="AF58" s="481"/>
      <c r="AG58" s="481"/>
      <c r="AH58" s="481"/>
      <c r="AI58" s="481"/>
      <c r="AJ58" s="481"/>
      <c r="AK58" s="481"/>
      <c r="AL58" s="481"/>
      <c r="AM58" s="481"/>
      <c r="AN58" s="481"/>
      <c r="AO58" s="481"/>
      <c r="AP58" s="173"/>
      <c r="AQ58" s="481"/>
      <c r="AR58" s="481"/>
      <c r="AS58" s="1299"/>
      <c r="AT58" s="481"/>
      <c r="AU58" s="481"/>
      <c r="AV58" s="481"/>
      <c r="AW58" s="481"/>
      <c r="AX58" s="481"/>
      <c r="AY58" s="481"/>
      <c r="AZ58" s="481"/>
      <c r="BB58" s="470">
        <f t="shared" si="29"/>
        <v>-8245213.3162603527</v>
      </c>
      <c r="BC58" s="470">
        <f t="shared" si="30"/>
        <v>119028167.29199991</v>
      </c>
      <c r="BD58" s="444"/>
      <c r="BE58" s="173"/>
      <c r="BF58" s="336"/>
    </row>
    <row r="59" spans="1:58" outlineLevel="1" x14ac:dyDescent="0.35">
      <c r="A59" s="336">
        <f>ROW()</f>
        <v>59</v>
      </c>
      <c r="B59" s="329" t="s">
        <v>130</v>
      </c>
      <c r="C59" s="465" t="s">
        <v>892</v>
      </c>
      <c r="D59" s="470">
        <v>-1782190.3299845832</v>
      </c>
      <c r="E59" s="1306"/>
      <c r="F59" s="481"/>
      <c r="G59" s="481"/>
      <c r="H59" s="481"/>
      <c r="I59" s="481"/>
      <c r="J59" s="481"/>
      <c r="K59" s="481"/>
      <c r="L59" s="481"/>
      <c r="M59" s="481"/>
      <c r="N59" s="481"/>
      <c r="O59" s="481"/>
      <c r="P59" s="481"/>
      <c r="Q59" s="481"/>
      <c r="R59" s="481"/>
      <c r="S59" s="481"/>
      <c r="T59" s="481"/>
      <c r="U59" s="481"/>
      <c r="V59" s="481"/>
      <c r="W59" s="471">
        <f>'Common Adj'!LQ21</f>
        <v>581492.75057958323</v>
      </c>
      <c r="X59" s="481"/>
      <c r="Y59" s="481"/>
      <c r="Z59" s="481"/>
      <c r="AA59" s="481"/>
      <c r="AB59" s="481"/>
      <c r="AC59" s="481"/>
      <c r="AD59" s="481"/>
      <c r="AE59" s="481"/>
      <c r="AF59" s="481"/>
      <c r="AG59" s="481"/>
      <c r="AH59" s="481"/>
      <c r="AI59" s="481"/>
      <c r="AJ59" s="481"/>
      <c r="AK59" s="481"/>
      <c r="AL59" s="481"/>
      <c r="AM59" s="481"/>
      <c r="AN59" s="481"/>
      <c r="AO59" s="481"/>
      <c r="AP59" s="173"/>
      <c r="AQ59" s="481"/>
      <c r="AR59" s="481"/>
      <c r="AS59" s="1299"/>
      <c r="AT59" s="481"/>
      <c r="AU59" s="481"/>
      <c r="AV59" s="481"/>
      <c r="AW59" s="481"/>
      <c r="AX59" s="481"/>
      <c r="AY59" s="481"/>
      <c r="AZ59" s="481"/>
      <c r="BB59" s="470">
        <f t="shared" si="29"/>
        <v>581492.75057958323</v>
      </c>
      <c r="BC59" s="470">
        <f t="shared" si="30"/>
        <v>-1200697.579405</v>
      </c>
      <c r="BD59" s="444"/>
      <c r="BE59" s="173"/>
      <c r="BF59" s="336"/>
    </row>
    <row r="60" spans="1:58" ht="15" outlineLevel="1" thickBot="1" x14ac:dyDescent="0.4">
      <c r="A60" s="336">
        <f>ROW()</f>
        <v>60</v>
      </c>
      <c r="B60" s="329" t="s">
        <v>22</v>
      </c>
      <c r="C60" s="465" t="s">
        <v>892</v>
      </c>
      <c r="D60" s="493">
        <f t="shared" ref="D60:BC60" si="31">SUM(D54:D59)</f>
        <v>2948894387.0453196</v>
      </c>
      <c r="E60" s="1301">
        <f t="shared" si="31"/>
        <v>0</v>
      </c>
      <c r="F60" s="494">
        <f t="shared" si="31"/>
        <v>0</v>
      </c>
      <c r="G60" s="494">
        <f t="shared" si="31"/>
        <v>0</v>
      </c>
      <c r="H60" s="494">
        <f t="shared" si="31"/>
        <v>0</v>
      </c>
      <c r="I60" s="494">
        <f t="shared" si="31"/>
        <v>0</v>
      </c>
      <c r="J60" s="494">
        <f t="shared" si="31"/>
        <v>0</v>
      </c>
      <c r="K60" s="494">
        <f t="shared" si="31"/>
        <v>0</v>
      </c>
      <c r="L60" s="494">
        <f t="shared" si="31"/>
        <v>0</v>
      </c>
      <c r="M60" s="494">
        <f t="shared" si="31"/>
        <v>0</v>
      </c>
      <c r="N60" s="494">
        <f t="shared" si="31"/>
        <v>0</v>
      </c>
      <c r="O60" s="494">
        <f t="shared" si="31"/>
        <v>0</v>
      </c>
      <c r="P60" s="494">
        <f t="shared" si="31"/>
        <v>0</v>
      </c>
      <c r="Q60" s="494">
        <f t="shared" si="31"/>
        <v>0</v>
      </c>
      <c r="R60" s="494">
        <f t="shared" si="31"/>
        <v>0</v>
      </c>
      <c r="S60" s="494">
        <f t="shared" si="31"/>
        <v>0</v>
      </c>
      <c r="T60" s="494">
        <f t="shared" si="31"/>
        <v>0</v>
      </c>
      <c r="U60" s="494">
        <f t="shared" si="31"/>
        <v>0</v>
      </c>
      <c r="V60" s="494">
        <f t="shared" si="31"/>
        <v>0</v>
      </c>
      <c r="W60" s="494">
        <f t="shared" si="31"/>
        <v>50455434.08198075</v>
      </c>
      <c r="X60" s="494">
        <f t="shared" si="31"/>
        <v>-6824350.6486586146</v>
      </c>
      <c r="Y60" s="494">
        <f>SUM(Y54:Y59)</f>
        <v>0</v>
      </c>
      <c r="Z60" s="494">
        <f t="shared" si="31"/>
        <v>0</v>
      </c>
      <c r="AA60" s="494">
        <f t="shared" si="31"/>
        <v>0</v>
      </c>
      <c r="AB60" s="494">
        <f t="shared" si="31"/>
        <v>-57834387.276298791</v>
      </c>
      <c r="AC60" s="494">
        <f t="shared" si="31"/>
        <v>0</v>
      </c>
      <c r="AD60" s="494">
        <f t="shared" si="31"/>
        <v>0</v>
      </c>
      <c r="AE60" s="494"/>
      <c r="AF60" s="494">
        <f t="shared" ref="AF60" si="32">SUM(AF54:AF59)</f>
        <v>0</v>
      </c>
      <c r="AG60" s="494"/>
      <c r="AH60" s="494"/>
      <c r="AI60" s="494">
        <f t="shared" ref="AI60:AR60" si="33">SUM(AI54:AI59)</f>
        <v>0</v>
      </c>
      <c r="AJ60" s="494"/>
      <c r="AK60" s="494"/>
      <c r="AL60" s="494">
        <f t="shared" si="33"/>
        <v>0</v>
      </c>
      <c r="AM60" s="494">
        <f t="shared" si="33"/>
        <v>0</v>
      </c>
      <c r="AN60" s="494">
        <f t="shared" si="33"/>
        <v>0</v>
      </c>
      <c r="AO60" s="494">
        <f t="shared" si="33"/>
        <v>0</v>
      </c>
      <c r="AP60" s="494">
        <f t="shared" si="33"/>
        <v>0</v>
      </c>
      <c r="AQ60" s="494">
        <f t="shared" si="33"/>
        <v>0</v>
      </c>
      <c r="AR60" s="494">
        <f t="shared" si="33"/>
        <v>-24218047.431628965</v>
      </c>
      <c r="AS60" s="1301">
        <f t="shared" ref="AS60" si="34">SUM(AS54:AS59)</f>
        <v>0</v>
      </c>
      <c r="AT60" s="494"/>
      <c r="AU60" s="494"/>
      <c r="AV60" s="494"/>
      <c r="AW60" s="494"/>
      <c r="AX60" s="494"/>
      <c r="AY60" s="494"/>
      <c r="AZ60" s="494"/>
      <c r="BB60" s="493">
        <f t="shared" si="31"/>
        <v>-38421351.274605609</v>
      </c>
      <c r="BC60" s="493">
        <f t="shared" si="31"/>
        <v>2910473035.7707138</v>
      </c>
      <c r="BD60" s="444"/>
      <c r="BE60" s="173"/>
      <c r="BF60" s="336"/>
    </row>
    <row r="61" spans="1:58" ht="15" outlineLevel="1" thickTop="1" x14ac:dyDescent="0.35">
      <c r="A61" s="336">
        <f>ROW()</f>
        <v>61</v>
      </c>
      <c r="C61" s="465" t="s">
        <v>892</v>
      </c>
      <c r="D61" s="466"/>
      <c r="E61" s="1279"/>
      <c r="H61" s="495"/>
      <c r="AS61" s="1279"/>
      <c r="BB61" s="466"/>
      <c r="BC61" s="466"/>
      <c r="BD61" s="444"/>
      <c r="BE61" s="173"/>
      <c r="BF61" s="336"/>
    </row>
    <row r="62" spans="1:58" outlineLevel="1" x14ac:dyDescent="0.35">
      <c r="A62" s="336">
        <f>ROW()</f>
        <v>62</v>
      </c>
      <c r="B62" s="329" t="s">
        <v>29</v>
      </c>
      <c r="C62" s="465" t="s">
        <v>892</v>
      </c>
      <c r="D62" s="496">
        <f>+'Def, COC, ConvF DPK-7 '!C13</f>
        <v>7.3575000000000002E-2</v>
      </c>
      <c r="E62" s="1302">
        <f>+'Def, COC, ConvF DPK-7 '!C13</f>
        <v>7.3575000000000002E-2</v>
      </c>
      <c r="F62" s="497">
        <f>+'Def, COC, ConvF DPK-7 '!C13</f>
        <v>7.3575000000000002E-2</v>
      </c>
      <c r="G62" s="497">
        <f>+'Def, COC, ConvF DPK-7 '!$C$13</f>
        <v>7.3575000000000002E-2</v>
      </c>
      <c r="H62" s="497">
        <f>+'Def, COC, ConvF DPK-7 '!$C$13</f>
        <v>7.3575000000000002E-2</v>
      </c>
      <c r="I62" s="497">
        <f>+'Def, COC, ConvF DPK-7 '!C13</f>
        <v>7.3575000000000002E-2</v>
      </c>
      <c r="J62" s="497">
        <f>+'Def, COC, ConvF DPK-7 '!C13</f>
        <v>7.3575000000000002E-2</v>
      </c>
      <c r="K62" s="497">
        <f>+'Def, COC, ConvF DPK-7 '!C13</f>
        <v>7.3575000000000002E-2</v>
      </c>
      <c r="L62" s="497">
        <f>+'Def, COC, ConvF DPK-7 '!C13</f>
        <v>7.3575000000000002E-2</v>
      </c>
      <c r="M62" s="497">
        <f>+'Def, COC, ConvF DPK-7 '!C13</f>
        <v>7.3575000000000002E-2</v>
      </c>
      <c r="N62" s="497">
        <f>+'Def, COC, ConvF DPK-7 '!C13</f>
        <v>7.3575000000000002E-2</v>
      </c>
      <c r="O62" s="497">
        <f>+'Def, COC, ConvF DPK-7 '!C13</f>
        <v>7.3575000000000002E-2</v>
      </c>
      <c r="P62" s="497">
        <f>+'Def, COC, ConvF DPK-7 '!C13</f>
        <v>7.3575000000000002E-2</v>
      </c>
      <c r="Q62" s="497">
        <f>+'Def, COC, ConvF DPK-7 '!C13</f>
        <v>7.3575000000000002E-2</v>
      </c>
      <c r="R62" s="497">
        <f>+'Def, COC, ConvF DPK-7 '!C13</f>
        <v>7.3575000000000002E-2</v>
      </c>
      <c r="S62" s="497">
        <f>+'Def, COC, ConvF DPK-7 '!C13</f>
        <v>7.3575000000000002E-2</v>
      </c>
      <c r="T62" s="497">
        <f>+'Def, COC, ConvF DPK-7 '!C13</f>
        <v>7.3575000000000002E-2</v>
      </c>
      <c r="U62" s="497">
        <f>+'Def, COC, ConvF DPK-7 '!C13</f>
        <v>7.3575000000000002E-2</v>
      </c>
      <c r="V62" s="497">
        <f>+'Def, COC, ConvF DPK-7 '!C13</f>
        <v>7.3575000000000002E-2</v>
      </c>
      <c r="W62" s="497">
        <f>+'Def, COC, ConvF DPK-7 '!C13</f>
        <v>7.3575000000000002E-2</v>
      </c>
      <c r="X62" s="497">
        <f>+'Def, COC, ConvF DPK-7 '!C13</f>
        <v>7.3575000000000002E-2</v>
      </c>
      <c r="Y62" s="497">
        <f>+'Def, COC, ConvF DPK-7 '!C13</f>
        <v>7.3575000000000002E-2</v>
      </c>
      <c r="Z62" s="497">
        <f>+'Def, COC, ConvF DPK-7 '!C13</f>
        <v>7.3575000000000002E-2</v>
      </c>
      <c r="AA62" s="497">
        <f>+'Def, COC, ConvF DPK-7 '!C13</f>
        <v>7.3575000000000002E-2</v>
      </c>
      <c r="AB62" s="497">
        <f>+'Def, COC, ConvF DPK-7 '!C13</f>
        <v>7.3575000000000002E-2</v>
      </c>
      <c r="AC62" s="497">
        <f>+'Def, COC, ConvF DPK-7 '!C13</f>
        <v>7.3575000000000002E-2</v>
      </c>
      <c r="AD62" s="497">
        <f>+'Def, COC, ConvF DPK-7 '!C13</f>
        <v>7.3575000000000002E-2</v>
      </c>
      <c r="AE62" s="497"/>
      <c r="AF62" s="497"/>
      <c r="AG62" s="497"/>
      <c r="AH62" s="497"/>
      <c r="AI62" s="497">
        <f>+'Def, COC, ConvF DPK-7 '!C13</f>
        <v>7.3575000000000002E-2</v>
      </c>
      <c r="AJ62" s="497"/>
      <c r="AK62" s="497">
        <f>+'Def, COC, ConvF DPK-7 '!C13</f>
        <v>7.3575000000000002E-2</v>
      </c>
      <c r="AL62" s="497">
        <f>+'Def, COC, ConvF DPK-7 '!C13</f>
        <v>7.3575000000000002E-2</v>
      </c>
      <c r="AM62" s="497">
        <f>+'Def, COC, ConvF DPK-7 '!$C$13</f>
        <v>7.3575000000000002E-2</v>
      </c>
      <c r="AN62" s="497">
        <f>+'Def, COC, ConvF DPK-7 '!$C$13</f>
        <v>7.3575000000000002E-2</v>
      </c>
      <c r="AO62" s="497">
        <f>+'Def, COC, ConvF DPK-7 '!$C$13</f>
        <v>7.3575000000000002E-2</v>
      </c>
      <c r="AP62" s="497">
        <f>+'Def, COC, ConvF DPK-7 '!C13</f>
        <v>7.3575000000000002E-2</v>
      </c>
      <c r="AQ62" s="497">
        <f>+'Def, COC, ConvF DPK-7 '!C13</f>
        <v>7.3575000000000002E-2</v>
      </c>
      <c r="AR62" s="497">
        <f>+'Def, COC, ConvF DPK-7 '!C13</f>
        <v>7.3575000000000002E-2</v>
      </c>
      <c r="AS62" s="1302">
        <f>+AR62</f>
        <v>7.3575000000000002E-2</v>
      </c>
      <c r="AT62" s="497"/>
      <c r="AU62" s="497"/>
      <c r="AV62" s="497"/>
      <c r="AW62" s="497"/>
      <c r="AX62" s="497"/>
      <c r="AY62" s="497"/>
      <c r="AZ62" s="497"/>
      <c r="BB62" s="496">
        <f>+'Def, COC, ConvF DPK-7 '!C13</f>
        <v>7.3575000000000002E-2</v>
      </c>
      <c r="BC62" s="496">
        <f>+'Def, COC, ConvF DPK-7 '!C13</f>
        <v>7.3575000000000002E-2</v>
      </c>
      <c r="BD62" s="444"/>
      <c r="BE62" s="173"/>
      <c r="BF62" s="336"/>
    </row>
    <row r="63" spans="1:58" outlineLevel="1" x14ac:dyDescent="0.35">
      <c r="A63" s="336">
        <f>ROW()</f>
        <v>63</v>
      </c>
      <c r="B63" s="329" t="s">
        <v>23</v>
      </c>
      <c r="C63" s="465" t="s">
        <v>892</v>
      </c>
      <c r="D63" s="466">
        <f>+'Def, COC, ConvF DPK-7 '!P20</f>
        <v>0.75421300000000002</v>
      </c>
      <c r="E63" s="1279">
        <f>+'Def, COC, ConvF DPK-7 '!P20</f>
        <v>0.75421300000000002</v>
      </c>
      <c r="F63" s="329">
        <f>+'Def, COC, ConvF DPK-7 '!P20</f>
        <v>0.75421300000000002</v>
      </c>
      <c r="G63" s="329">
        <f>+'Def, COC, ConvF DPK-7 '!P20</f>
        <v>0.75421300000000002</v>
      </c>
      <c r="H63" s="329">
        <f>+'Def, COC, ConvF DPK-7 '!P20</f>
        <v>0.75421300000000002</v>
      </c>
      <c r="I63" s="329">
        <f>+'Def, COC, ConvF DPK-7 '!P20</f>
        <v>0.75421300000000002</v>
      </c>
      <c r="J63" s="329">
        <f>+'Def, COC, ConvF DPK-7 '!P20</f>
        <v>0.75421300000000002</v>
      </c>
      <c r="K63" s="329">
        <f>+'Def, COC, ConvF DPK-7 '!P20</f>
        <v>0.75421300000000002</v>
      </c>
      <c r="L63" s="329">
        <f>+'Def, COC, ConvF DPK-7 '!P20</f>
        <v>0.75421300000000002</v>
      </c>
      <c r="M63" s="329">
        <f>+'Def, COC, ConvF DPK-7 '!P20</f>
        <v>0.75421300000000002</v>
      </c>
      <c r="N63" s="329">
        <f>+'Def, COC, ConvF DPK-7 '!P20</f>
        <v>0.75421300000000002</v>
      </c>
      <c r="O63" s="329">
        <f>+'Def, COC, ConvF DPK-7 '!P20</f>
        <v>0.75421300000000002</v>
      </c>
      <c r="P63" s="329">
        <f>+'Def, COC, ConvF DPK-7 '!P20</f>
        <v>0.75421300000000002</v>
      </c>
      <c r="Q63" s="329">
        <f>+'Def, COC, ConvF DPK-7 '!P20</f>
        <v>0.75421300000000002</v>
      </c>
      <c r="R63" s="329">
        <f>+'Def, COC, ConvF DPK-7 '!P20</f>
        <v>0.75421300000000002</v>
      </c>
      <c r="S63" s="329">
        <f>+'Def, COC, ConvF DPK-7 '!P20</f>
        <v>0.75421300000000002</v>
      </c>
      <c r="T63" s="329">
        <f>+'Def, COC, ConvF DPK-7 '!P20</f>
        <v>0.75421300000000002</v>
      </c>
      <c r="U63" s="329">
        <f>+'Def, COC, ConvF DPK-7 '!P20</f>
        <v>0.75421300000000002</v>
      </c>
      <c r="V63" s="329">
        <f>+'Def, COC, ConvF DPK-7 '!P20</f>
        <v>0.75421300000000002</v>
      </c>
      <c r="W63" s="329">
        <f>+'Def, COC, ConvF DPK-7 '!P20</f>
        <v>0.75421300000000002</v>
      </c>
      <c r="X63" s="329">
        <f>+'Def, COC, ConvF DPK-7 '!P20</f>
        <v>0.75421300000000002</v>
      </c>
      <c r="Y63" s="329">
        <f>+'Def, COC, ConvF DPK-7 '!P20</f>
        <v>0.75421300000000002</v>
      </c>
      <c r="Z63" s="329">
        <f>+'Def, COC, ConvF DPK-7 '!P20</f>
        <v>0.75421300000000002</v>
      </c>
      <c r="AA63" s="329">
        <f>+'Def, COC, ConvF DPK-7 '!P20</f>
        <v>0.75421300000000002</v>
      </c>
      <c r="AB63" s="329">
        <f>+'Def, COC, ConvF DPK-7 '!P20</f>
        <v>0.75421300000000002</v>
      </c>
      <c r="AC63" s="329">
        <f>+'Def, COC, ConvF DPK-7 '!P20</f>
        <v>0.75421300000000002</v>
      </c>
      <c r="AD63" s="329">
        <f>+'Def, COC, ConvF DPK-7 '!P20</f>
        <v>0.75421300000000002</v>
      </c>
      <c r="AI63" s="329">
        <f>+'Def, COC, ConvF DPK-7 '!P20</f>
        <v>0.75421300000000002</v>
      </c>
      <c r="AK63" s="329">
        <f>+'Def, COC, ConvF DPK-7 '!P20</f>
        <v>0.75421300000000002</v>
      </c>
      <c r="AL63" s="329">
        <f>+'Def, COC, ConvF DPK-7 '!P20</f>
        <v>0.75421300000000002</v>
      </c>
      <c r="AM63" s="329">
        <f>+'Def, COC, ConvF DPK-7 '!$P$20</f>
        <v>0.75421300000000002</v>
      </c>
      <c r="AN63" s="329">
        <f>+'Def, COC, ConvF DPK-7 '!$P$20</f>
        <v>0.75421300000000002</v>
      </c>
      <c r="AO63" s="329">
        <f>+'Def, COC, ConvF DPK-7 '!$P$20</f>
        <v>0.75421300000000002</v>
      </c>
      <c r="AP63" s="329">
        <f>+'Def, COC, ConvF DPK-7 '!P20</f>
        <v>0.75421300000000002</v>
      </c>
      <c r="AQ63" s="329">
        <f>+'Def, COC, ConvF DPK-7 '!P20</f>
        <v>0.75421300000000002</v>
      </c>
      <c r="AR63" s="329">
        <f>+'Def, COC, ConvF DPK-7 '!P20</f>
        <v>0.75421300000000002</v>
      </c>
      <c r="AS63" s="1279">
        <f>+AR63</f>
        <v>0.75421300000000002</v>
      </c>
      <c r="BB63" s="466">
        <f>+'Def, COC, ConvF DPK-7 '!P20</f>
        <v>0.75421300000000002</v>
      </c>
      <c r="BC63" s="466">
        <f>+'Def, COC, ConvF DPK-7 '!P20</f>
        <v>0.75421300000000002</v>
      </c>
      <c r="BD63" s="444"/>
      <c r="BE63" s="173"/>
      <c r="BF63" s="336"/>
    </row>
    <row r="64" spans="1:58" outlineLevel="1" x14ac:dyDescent="0.35">
      <c r="A64" s="336">
        <f>ROW()</f>
        <v>64</v>
      </c>
      <c r="B64" s="329" t="s">
        <v>186</v>
      </c>
      <c r="C64" s="465" t="s">
        <v>892</v>
      </c>
      <c r="D64" s="470">
        <f>+D47-(D60*D62)</f>
        <v>-34890697.936859488</v>
      </c>
      <c r="E64" s="1303">
        <f t="shared" ref="E64:AC64" si="35">+E47-(E60*E62)</f>
        <v>32253615.866947763</v>
      </c>
      <c r="F64" s="265">
        <f t="shared" si="35"/>
        <v>2084412.2876831293</v>
      </c>
      <c r="G64" s="265">
        <f t="shared" si="35"/>
        <v>-68328.809286971111</v>
      </c>
      <c r="H64" s="265">
        <f t="shared" si="35"/>
        <v>-2391601.7753268979</v>
      </c>
      <c r="I64" s="265">
        <f t="shared" si="35"/>
        <v>16074542.57656165</v>
      </c>
      <c r="J64" s="265">
        <f t="shared" si="35"/>
        <v>213041.17074922178</v>
      </c>
      <c r="K64" s="265">
        <f t="shared" si="35"/>
        <v>-183413.51902969996</v>
      </c>
      <c r="L64" s="265">
        <f t="shared" si="35"/>
        <v>-678.41161519914863</v>
      </c>
      <c r="M64" s="265">
        <f t="shared" si="35"/>
        <v>13658.449104713156</v>
      </c>
      <c r="N64" s="265">
        <f t="shared" si="35"/>
        <v>18993.65433911428</v>
      </c>
      <c r="O64" s="265">
        <f t="shared" si="35"/>
        <v>1105216.3354017462</v>
      </c>
      <c r="P64" s="265">
        <f t="shared" si="35"/>
        <v>-151116.36784572125</v>
      </c>
      <c r="Q64" s="265">
        <f t="shared" si="35"/>
        <v>-30503.742766919091</v>
      </c>
      <c r="R64" s="265">
        <f t="shared" si="35"/>
        <v>-435005.0623120963</v>
      </c>
      <c r="S64" s="265">
        <f t="shared" si="35"/>
        <v>-778045.66996666696</v>
      </c>
      <c r="T64" s="265">
        <f t="shared" si="35"/>
        <v>13098.494505843493</v>
      </c>
      <c r="U64" s="265">
        <f t="shared" si="35"/>
        <v>-1117190.4516966809</v>
      </c>
      <c r="V64" s="265">
        <f t="shared" si="35"/>
        <v>-2924834.9278341117</v>
      </c>
      <c r="W64" s="265">
        <f t="shared" si="35"/>
        <v>-3712258.5625817338</v>
      </c>
      <c r="X64" s="265">
        <f t="shared" si="35"/>
        <v>-6322249.0496835569</v>
      </c>
      <c r="Y64" s="265">
        <f>+Y47-(Y60*Y62)</f>
        <v>14420.256752399737</v>
      </c>
      <c r="Z64" s="265">
        <f t="shared" si="35"/>
        <v>0</v>
      </c>
      <c r="AA64" s="265">
        <f t="shared" si="35"/>
        <v>0</v>
      </c>
      <c r="AB64" s="265">
        <f t="shared" si="35"/>
        <v>1355843.0964576234</v>
      </c>
      <c r="AC64" s="265">
        <f t="shared" si="35"/>
        <v>-267705.11489864736</v>
      </c>
      <c r="AD64" s="265">
        <f t="shared" ref="AD64" si="36">+AD47-(AD60*AD62)</f>
        <v>0</v>
      </c>
      <c r="AE64" s="265"/>
      <c r="AF64" s="265"/>
      <c r="AG64" s="265"/>
      <c r="AH64" s="265"/>
      <c r="AI64" s="265">
        <f t="shared" ref="AI64:AR64" si="37">+AI47-(AI60*AI62)</f>
        <v>0</v>
      </c>
      <c r="AJ64" s="265"/>
      <c r="AK64" s="265">
        <f t="shared" ref="AK64:AM64" si="38">+AK47-(AK60*AK62)</f>
        <v>-1702914.1352699972</v>
      </c>
      <c r="AL64" s="265">
        <f t="shared" si="38"/>
        <v>-1275792.7171000002</v>
      </c>
      <c r="AM64" s="265">
        <f t="shared" si="38"/>
        <v>69091.03</v>
      </c>
      <c r="AN64" s="265">
        <f t="shared" ref="AN64:AO64" si="39">+AN47-(AN60*AN62)</f>
        <v>0</v>
      </c>
      <c r="AO64" s="265">
        <f t="shared" si="39"/>
        <v>0</v>
      </c>
      <c r="AP64" s="265">
        <f t="shared" si="37"/>
        <v>0</v>
      </c>
      <c r="AQ64" s="265">
        <f t="shared" si="37"/>
        <v>0</v>
      </c>
      <c r="AR64" s="265">
        <f t="shared" si="37"/>
        <v>2444459.9439226426</v>
      </c>
      <c r="AS64" s="1303">
        <f t="shared" ref="AS64" si="40">+AS47-(AS60*AS62)</f>
        <v>0</v>
      </c>
      <c r="AT64" s="265"/>
      <c r="AU64" s="265"/>
      <c r="AV64" s="265"/>
      <c r="AW64" s="265"/>
      <c r="AX64" s="265"/>
      <c r="AY64" s="265"/>
      <c r="AZ64" s="265"/>
      <c r="BB64" s="470">
        <f>SUM(E64:AZ64)</f>
        <v>34298754.845210955</v>
      </c>
      <c r="BC64" s="470">
        <f>+BC47-(BC60*BC62)</f>
        <v>-591943.09164831042</v>
      </c>
      <c r="BD64" s="444"/>
      <c r="BE64" s="173"/>
      <c r="BF64" s="336"/>
    </row>
    <row r="65" spans="1:58" outlineLevel="1" x14ac:dyDescent="0.35">
      <c r="A65" s="336">
        <f>ROW()</f>
        <v>65</v>
      </c>
      <c r="B65" s="329" t="s">
        <v>187</v>
      </c>
      <c r="C65" s="465" t="s">
        <v>892</v>
      </c>
      <c r="D65" s="470">
        <f>-D64/D63</f>
        <v>46261066.750187926</v>
      </c>
      <c r="E65" s="1303">
        <f t="shared" ref="E65:BC65" si="41">-E64/E63</f>
        <v>-42764598.153237559</v>
      </c>
      <c r="F65" s="265">
        <f t="shared" si="41"/>
        <v>-2763691.8054755479</v>
      </c>
      <c r="G65" s="265">
        <f t="shared" si="41"/>
        <v>90596.170162767157</v>
      </c>
      <c r="H65" s="265">
        <f t="shared" si="41"/>
        <v>3170989.8600619426</v>
      </c>
      <c r="I65" s="265">
        <f t="shared" si="41"/>
        <v>-21313001.203322735</v>
      </c>
      <c r="J65" s="265">
        <f t="shared" si="41"/>
        <v>-282468.17642923386</v>
      </c>
      <c r="K65" s="265">
        <f t="shared" si="41"/>
        <v>243185.30578192096</v>
      </c>
      <c r="L65" s="265">
        <f t="shared" si="41"/>
        <v>899.49605111440485</v>
      </c>
      <c r="M65" s="265">
        <f t="shared" si="41"/>
        <v>-18109.53816059012</v>
      </c>
      <c r="N65" s="265">
        <f t="shared" si="41"/>
        <v>-25183.408850171345</v>
      </c>
      <c r="O65" s="265">
        <f t="shared" si="41"/>
        <v>-1465390.1953450101</v>
      </c>
      <c r="P65" s="265">
        <f t="shared" si="41"/>
        <v>200362.98478774729</v>
      </c>
      <c r="Q65" s="265">
        <f t="shared" si="41"/>
        <v>40444.466970098751</v>
      </c>
      <c r="R65" s="265">
        <f t="shared" si="41"/>
        <v>576766.85805216338</v>
      </c>
      <c r="S65" s="265">
        <f t="shared" si="41"/>
        <v>1031599.388987815</v>
      </c>
      <c r="T65" s="265">
        <f t="shared" si="41"/>
        <v>-17367.102537139366</v>
      </c>
      <c r="U65" s="265">
        <f t="shared" si="41"/>
        <v>1481266.5012359649</v>
      </c>
      <c r="V65" s="265">
        <f t="shared" si="41"/>
        <v>3877995.9080977277</v>
      </c>
      <c r="W65" s="265">
        <f t="shared" si="41"/>
        <v>4922029.4036057899</v>
      </c>
      <c r="X65" s="265">
        <f t="shared" si="41"/>
        <v>8382577.6666320479</v>
      </c>
      <c r="Y65" s="265">
        <f>-Y64/Y63</f>
        <v>-19119.607793023639</v>
      </c>
      <c r="Z65" s="265">
        <f t="shared" si="41"/>
        <v>0</v>
      </c>
      <c r="AA65" s="265">
        <f t="shared" si="41"/>
        <v>0</v>
      </c>
      <c r="AB65" s="265">
        <f t="shared" si="41"/>
        <v>-1797692.5569535706</v>
      </c>
      <c r="AC65" s="265">
        <f t="shared" si="41"/>
        <v>354946.30150719668</v>
      </c>
      <c r="AD65" s="265">
        <f t="shared" ref="AD65" si="42">-AD64/AD63</f>
        <v>0</v>
      </c>
      <c r="AE65" s="265"/>
      <c r="AF65" s="265"/>
      <c r="AG65" s="265"/>
      <c r="AH65" s="265"/>
      <c r="AI65" s="265">
        <f t="shared" ref="AI65:AR65" si="43">-AI64/AI63</f>
        <v>0</v>
      </c>
      <c r="AJ65" s="265"/>
      <c r="AK65" s="265">
        <f t="shared" ref="AK65" si="44">-AK64/AK63</f>
        <v>2257868.9776893225</v>
      </c>
      <c r="AL65" s="265">
        <f>-AL64/AL63</f>
        <v>1691554.9282497123</v>
      </c>
      <c r="AM65" s="265">
        <f>-AM64/AM63</f>
        <v>-91606.787472504453</v>
      </c>
      <c r="AN65" s="265">
        <f t="shared" ref="AN65:AO65" si="45">-AN64/AN63</f>
        <v>0</v>
      </c>
      <c r="AO65" s="265">
        <f t="shared" si="45"/>
        <v>0</v>
      </c>
      <c r="AP65" s="265">
        <f t="shared" si="43"/>
        <v>0</v>
      </c>
      <c r="AQ65" s="265">
        <f t="shared" si="43"/>
        <v>0</v>
      </c>
      <c r="AR65" s="265">
        <f t="shared" si="43"/>
        <v>-3241073.7337100296</v>
      </c>
      <c r="AS65" s="1303">
        <f t="shared" ref="AS65" si="46">-AS64/AS63</f>
        <v>0</v>
      </c>
      <c r="AT65" s="265"/>
      <c r="AU65" s="265"/>
      <c r="AV65" s="265"/>
      <c r="AW65" s="265"/>
      <c r="AX65" s="265"/>
      <c r="AY65" s="265"/>
      <c r="AZ65" s="265"/>
      <c r="BB65" s="470">
        <f t="shared" si="41"/>
        <v>-45476218.051413797</v>
      </c>
      <c r="BC65" s="470">
        <f t="shared" si="41"/>
        <v>784848.69877383497</v>
      </c>
      <c r="BD65" s="444"/>
      <c r="BE65" s="173"/>
      <c r="BF65" s="336"/>
    </row>
    <row r="66" spans="1:58" outlineLevel="1" x14ac:dyDescent="0.35">
      <c r="A66" s="336">
        <f>ROW()</f>
        <v>66</v>
      </c>
      <c r="B66" s="329" t="s">
        <v>42</v>
      </c>
      <c r="C66" s="465" t="s">
        <v>892</v>
      </c>
      <c r="D66" s="470"/>
      <c r="E66" s="1303"/>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1303"/>
      <c r="AT66" s="265"/>
      <c r="AU66" s="265"/>
      <c r="AV66" s="265"/>
      <c r="AW66" s="265"/>
      <c r="AX66" s="265"/>
      <c r="AY66" s="265"/>
      <c r="AZ66" s="265"/>
      <c r="BB66" s="470"/>
      <c r="BC66" s="470"/>
      <c r="BD66" s="444"/>
      <c r="BF66" s="336"/>
    </row>
    <row r="67" spans="1:58" outlineLevel="1" x14ac:dyDescent="0.35">
      <c r="A67" s="336">
        <f>ROW()</f>
        <v>67</v>
      </c>
      <c r="B67" s="329" t="s">
        <v>43</v>
      </c>
      <c r="C67" s="465" t="s">
        <v>892</v>
      </c>
      <c r="D67" s="470"/>
      <c r="E67" s="1303"/>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1303"/>
      <c r="AT67" s="265"/>
      <c r="AU67" s="265"/>
      <c r="AV67" s="265"/>
      <c r="AW67" s="265"/>
      <c r="AX67" s="265"/>
      <c r="AY67" s="265"/>
      <c r="AZ67" s="265"/>
      <c r="BB67" s="470"/>
      <c r="BC67" s="470"/>
      <c r="BD67" s="444"/>
      <c r="BF67" s="336"/>
    </row>
    <row r="68" spans="1:58" outlineLevel="1" x14ac:dyDescent="0.35">
      <c r="A68" s="336">
        <f>ROW()</f>
        <v>68</v>
      </c>
      <c r="C68" s="465" t="s">
        <v>892</v>
      </c>
      <c r="D68" s="498"/>
      <c r="E68" s="1303"/>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1303"/>
      <c r="AT68" s="265"/>
      <c r="AU68" s="265"/>
      <c r="AV68" s="265"/>
      <c r="AW68" s="265"/>
      <c r="AX68" s="265"/>
      <c r="AY68" s="265"/>
      <c r="AZ68" s="265"/>
      <c r="BB68" s="498"/>
      <c r="BC68" s="498"/>
      <c r="BD68" s="444"/>
      <c r="BF68" s="336"/>
    </row>
    <row r="69" spans="1:58" outlineLevel="1" x14ac:dyDescent="0.35">
      <c r="A69" s="336">
        <f>ROW()</f>
        <v>69</v>
      </c>
      <c r="C69" s="465" t="s">
        <v>892</v>
      </c>
      <c r="E69" s="1319"/>
      <c r="AS69" s="1279"/>
      <c r="BD69" s="444"/>
      <c r="BF69" s="336"/>
    </row>
    <row r="70" spans="1:58" s="499" customFormat="1" outlineLevel="1" x14ac:dyDescent="0.35">
      <c r="A70" s="336">
        <f>ROW()</f>
        <v>70</v>
      </c>
      <c r="B70" s="499" t="s">
        <v>939</v>
      </c>
      <c r="C70" s="465" t="s">
        <v>892</v>
      </c>
      <c r="D70" s="500"/>
      <c r="E70" s="1304">
        <f>ROUND('Common Adj'!E$71-E47,0)+E49</f>
        <v>0</v>
      </c>
      <c r="F70" s="551">
        <f>ROUND('Common Adj'!W$65-F47,0)+F49</f>
        <v>0</v>
      </c>
      <c r="G70" s="551">
        <f>ROUND('Common Adj'!AO$30-G47,0)+G49</f>
        <v>0</v>
      </c>
      <c r="H70" s="551">
        <f>ROUND('Common Adj'!BG$22-H47,0)+H49</f>
        <v>0</v>
      </c>
      <c r="I70" s="551">
        <f>ROUND('Common Adj'!BY$24-I47,0)+I49</f>
        <v>0</v>
      </c>
      <c r="J70" s="551">
        <f>ROUND('Common Adj'!CQ$20-J47,0)+J49</f>
        <v>0</v>
      </c>
      <c r="K70" s="551">
        <f>ROUND('Common Adj'!DI$22-K47,0)+K49</f>
        <v>0</v>
      </c>
      <c r="L70" s="551">
        <f>ROUND('Common Adj'!EA$21-L47,0)+L49</f>
        <v>0</v>
      </c>
      <c r="M70" s="551">
        <f>ROUND('Common Adj'!ES$27-M47,0)+M49</f>
        <v>0</v>
      </c>
      <c r="N70" s="551">
        <f>ROUND('Common Adj'!FK$23-N47,0)+N49</f>
        <v>0</v>
      </c>
      <c r="O70" s="551">
        <f>ROUND('Common Adj'!GC$32-O47,0)+O49</f>
        <v>0</v>
      </c>
      <c r="P70" s="551">
        <f>ROUND('Common Adj'!GU$36-P47,0)+P49</f>
        <v>0</v>
      </c>
      <c r="Q70" s="551">
        <f>ROUND('Common Adj'!HM$18-Q47,0)+Q49</f>
        <v>0</v>
      </c>
      <c r="R70" s="551">
        <f>ROUND('Common Adj'!IE$21-R47,0)+R49</f>
        <v>0</v>
      </c>
      <c r="S70" s="551">
        <f>ROUND('Common Adj'!IW$22-S47,0)+S49</f>
        <v>0</v>
      </c>
      <c r="T70" s="551">
        <f>ROUND('Common Adj'!JO$23-T47,0)+T49</f>
        <v>0</v>
      </c>
      <c r="U70" s="551">
        <f>ROUND('Common Adj'!KG$20-U47,0)+U49</f>
        <v>0</v>
      </c>
      <c r="V70" s="551">
        <f>ROUND('Common Adj'!KY$33-V47,0)+V49</f>
        <v>0</v>
      </c>
      <c r="W70" s="551">
        <f>ROUND('Common Adj'!LQ$22-W49,0)+W47</f>
        <v>0</v>
      </c>
      <c r="X70" s="551">
        <f>ROUND('Common Adj'!MI$31-X47,0)+ROUND('Common Adj'!MI$36-X49,0)</f>
        <v>0</v>
      </c>
      <c r="Y70" s="551">
        <f>ROUND('Common Adj'!NA$22-Y47,0)+Y49</f>
        <v>0</v>
      </c>
      <c r="Z70" s="551">
        <f>ROUND('Common Adj'!NS$31-Z47,0)+Z49</f>
        <v>0</v>
      </c>
      <c r="AA70" s="551">
        <f>ROUND('Common Adj'!OK$35-AA47,0)+ROUND('Common Adj'!OK$24-AA49,0)</f>
        <v>0</v>
      </c>
      <c r="AB70" s="551">
        <f>ROUND('Common Adj'!PC$53-AB47,0)+ROUND('Common Adj'!PC$35-AB49,0)</f>
        <v>0</v>
      </c>
      <c r="AC70" s="551">
        <f>ROUND('Common Adj'!PU$21-AC47,0)+AC49</f>
        <v>0</v>
      </c>
      <c r="AD70" s="551">
        <f>ROUND('Common Adj'!RW$30-AD47,0)+ROUND('Common Adj'!RW$35-AD49,0)</f>
        <v>0</v>
      </c>
      <c r="AE70" s="551">
        <f>ROUND('Common Adj'!RF$31-AE47,0)+ROUND('Common Adj'!RF$36-AE49,0)</f>
        <v>0</v>
      </c>
      <c r="AF70" s="551">
        <f>ROUND('Common Adj'!RX30-AF47,0)+ROUND('Common Adj'!RX35-AF49,0)</f>
        <v>0</v>
      </c>
      <c r="AG70" s="551">
        <f>ROUND('Common Adj'!SP$62-AG47,0)+ROUND('Common Adj'!SP$67-AG49,0)</f>
        <v>0</v>
      </c>
      <c r="AH70" s="551">
        <f>ROUND('Common Adj'!SP$80-AH47,0)+ROUND('Common Adj'!SP$85-AH49,0)</f>
        <v>0</v>
      </c>
      <c r="AI70" s="551">
        <f>ROUND('Common Adj'!SP$98-AI47,0)+ROUND('Common Adj'!SP$103-AI49,0)</f>
        <v>0</v>
      </c>
      <c r="AJ70" s="551">
        <f>ROUND('Common Adj'!SQ$98-AJ47,0)+ROUND('Common Adj'!SQ$103-AJ49,0)</f>
        <v>0</v>
      </c>
      <c r="AK70" s="551">
        <f>ROUND('Common Adj'!UB$38-AK47,0)</f>
        <v>0</v>
      </c>
      <c r="AL70" s="551">
        <f>ROUND('Common Adj'!UU$27-AL47,0)</f>
        <v>0</v>
      </c>
      <c r="AM70" s="551">
        <f>ROUND('Common Adj'!TI$25-AM47,0)</f>
        <v>0</v>
      </c>
      <c r="AN70" s="551">
        <f>AN47-'Common Adj'!VN32</f>
        <v>0</v>
      </c>
      <c r="AO70" s="551">
        <f>ROUND('Common Adj'!TK$25-AO47,0)</f>
        <v>0</v>
      </c>
      <c r="AP70" s="551">
        <f>(AP49-'Gas Adj'!BG33)+(AP47-'Gas Adj'!BG49)</f>
        <v>0</v>
      </c>
      <c r="AQ70" s="551">
        <f>ROUND('Gas Adj'!BY$53-AQ49,0)+AQ47</f>
        <v>0</v>
      </c>
      <c r="AR70" s="551">
        <f>ROUND('Gas Adj'!CQ22-AR47+'Gas Adj'!CQ31-AR49,0)</f>
        <v>0</v>
      </c>
      <c r="AS70" s="1304">
        <f>ROUND('Gas Adj'!CZ22-AS47+'Gas Adj'!CZ31-AS49,0)</f>
        <v>-18186836</v>
      </c>
      <c r="AT70" s="547"/>
      <c r="AU70" s="548"/>
      <c r="AV70" s="549"/>
      <c r="AW70" s="549"/>
      <c r="AX70" s="549"/>
      <c r="AY70" s="549"/>
      <c r="AZ70" s="549"/>
      <c r="BB70" s="550"/>
      <c r="BC70" s="550"/>
      <c r="BD70" s="444"/>
      <c r="BF70" s="336"/>
    </row>
    <row r="71" spans="1:58" outlineLevel="1" x14ac:dyDescent="0.35">
      <c r="A71" s="336">
        <f>ROW()</f>
        <v>71</v>
      </c>
      <c r="B71" s="499" t="s">
        <v>953</v>
      </c>
      <c r="C71" s="465" t="s">
        <v>892</v>
      </c>
      <c r="D71" s="551">
        <f>'Summary DPK-7 '!C47-D47</f>
        <v>0</v>
      </c>
      <c r="E71" s="1279"/>
      <c r="AS71" s="1279"/>
      <c r="BA71" s="329"/>
      <c r="BC71" s="551">
        <f>'Summary DPK-7 '!E47-BC47</f>
        <v>0</v>
      </c>
      <c r="BD71" s="444"/>
      <c r="BF71" s="336"/>
    </row>
    <row r="72" spans="1:58" outlineLevel="1" x14ac:dyDescent="0.35">
      <c r="A72" s="336">
        <f>ROW()</f>
        <v>72</v>
      </c>
      <c r="B72" s="499" t="s">
        <v>954</v>
      </c>
      <c r="C72" s="465" t="s">
        <v>892</v>
      </c>
      <c r="D72" s="551">
        <f>'Summary DPK-7 '!C58-D60</f>
        <v>0</v>
      </c>
      <c r="E72" s="1279"/>
      <c r="AS72" s="1279"/>
      <c r="BA72" s="329"/>
      <c r="BC72" s="551">
        <f>'Summary DPK-7 '!E58-BC60</f>
        <v>0</v>
      </c>
      <c r="BD72" s="444"/>
      <c r="BF72" s="336"/>
    </row>
    <row r="73" spans="1:58" x14ac:dyDescent="0.35">
      <c r="A73" s="456"/>
      <c r="B73" s="503"/>
      <c r="C73" s="504"/>
      <c r="D73" s="462"/>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B73" s="456"/>
      <c r="BC73" s="462"/>
      <c r="BD73" s="444"/>
      <c r="BF73" s="336"/>
    </row>
    <row r="74" spans="1:58" outlineLevel="1" x14ac:dyDescent="0.35">
      <c r="A74" s="456"/>
      <c r="B74" s="458"/>
      <c r="C74" s="505" t="s">
        <v>919</v>
      </c>
      <c r="D74" s="506"/>
      <c r="E74" s="461">
        <v>45261</v>
      </c>
      <c r="F74" s="461">
        <v>45261</v>
      </c>
      <c r="G74" s="461">
        <v>45261</v>
      </c>
      <c r="H74" s="461">
        <v>45261</v>
      </c>
      <c r="I74" s="461">
        <v>45261</v>
      </c>
      <c r="J74" s="461">
        <v>45261</v>
      </c>
      <c r="K74" s="461">
        <v>45261</v>
      </c>
      <c r="L74" s="461">
        <v>45261</v>
      </c>
      <c r="M74" s="461">
        <v>45261</v>
      </c>
      <c r="N74" s="461">
        <v>45261</v>
      </c>
      <c r="O74" s="461">
        <v>45261</v>
      </c>
      <c r="P74" s="461">
        <v>45261</v>
      </c>
      <c r="Q74" s="461">
        <v>45261</v>
      </c>
      <c r="R74" s="461">
        <v>45261</v>
      </c>
      <c r="S74" s="461">
        <v>45261</v>
      </c>
      <c r="T74" s="461">
        <v>45261</v>
      </c>
      <c r="U74" s="461">
        <v>45261</v>
      </c>
      <c r="V74" s="461">
        <v>45261</v>
      </c>
      <c r="W74" s="461">
        <v>45261</v>
      </c>
      <c r="X74" s="461">
        <v>45261</v>
      </c>
      <c r="Y74" s="461">
        <v>45261</v>
      </c>
      <c r="Z74" s="461">
        <v>45261</v>
      </c>
      <c r="AA74" s="461">
        <v>45261</v>
      </c>
      <c r="AB74" s="461">
        <v>45261</v>
      </c>
      <c r="AC74" s="461">
        <v>45261</v>
      </c>
      <c r="AD74" s="461">
        <v>45261</v>
      </c>
      <c r="AE74" s="461">
        <v>45261</v>
      </c>
      <c r="AF74" s="461">
        <v>45261</v>
      </c>
      <c r="AG74" s="461">
        <v>45261</v>
      </c>
      <c r="AH74" s="461">
        <v>45261</v>
      </c>
      <c r="AI74" s="461">
        <v>45261</v>
      </c>
      <c r="AJ74" s="461"/>
      <c r="AK74" s="461">
        <v>45261</v>
      </c>
      <c r="AL74" s="461">
        <v>45261</v>
      </c>
      <c r="AM74" s="461">
        <v>45261</v>
      </c>
      <c r="AN74" s="461">
        <v>45261</v>
      </c>
      <c r="AO74" s="461">
        <v>45261</v>
      </c>
      <c r="AP74" s="461">
        <v>45261</v>
      </c>
      <c r="AQ74" s="461">
        <v>45261</v>
      </c>
      <c r="AR74" s="461">
        <v>45261</v>
      </c>
      <c r="AS74" s="461">
        <v>45261</v>
      </c>
      <c r="AT74" s="461">
        <v>45261</v>
      </c>
      <c r="AU74" s="461">
        <v>45261</v>
      </c>
      <c r="AV74" s="461">
        <v>45261</v>
      </c>
      <c r="AW74" s="461">
        <v>45261</v>
      </c>
      <c r="AX74" s="461">
        <v>45261</v>
      </c>
      <c r="AY74" s="461">
        <v>45261</v>
      </c>
      <c r="AZ74" s="461">
        <v>45261</v>
      </c>
      <c r="BB74" s="461">
        <v>45261</v>
      </c>
      <c r="BC74" s="461">
        <v>45261</v>
      </c>
      <c r="BD74" s="444"/>
      <c r="BF74" s="336"/>
    </row>
    <row r="75" spans="1:58" outlineLevel="1" x14ac:dyDescent="0.35">
      <c r="A75" s="456"/>
      <c r="B75" s="458"/>
      <c r="C75" s="507"/>
      <c r="D75" s="508"/>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c r="AY75" s="463"/>
      <c r="AZ75" s="463"/>
      <c r="BB75" s="456"/>
      <c r="BC75" s="462"/>
      <c r="BD75" s="444"/>
      <c r="BF75" s="336"/>
    </row>
    <row r="76" spans="1:58" outlineLevel="1" x14ac:dyDescent="0.35">
      <c r="B76" s="464" t="s">
        <v>0</v>
      </c>
      <c r="C76" s="509">
        <v>45291</v>
      </c>
      <c r="D76" s="467"/>
      <c r="E76" s="1320"/>
      <c r="F76" s="509"/>
      <c r="G76" s="509"/>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N76" s="509"/>
      <c r="AO76" s="509"/>
      <c r="AP76" s="509"/>
      <c r="AS76" s="1279"/>
      <c r="BB76" s="467"/>
      <c r="BC76" s="467"/>
      <c r="BD76" s="444"/>
      <c r="BF76" s="336"/>
    </row>
    <row r="77" spans="1:58" outlineLevel="1" x14ac:dyDescent="0.35">
      <c r="B77" s="464" t="s">
        <v>48</v>
      </c>
      <c r="C77" s="509">
        <v>45291</v>
      </c>
      <c r="D77" s="467">
        <f>+BC16</f>
        <v>635165639.87275779</v>
      </c>
      <c r="E77" s="1306">
        <f>'Common Adj'!G37</f>
        <v>-57533887.225894623</v>
      </c>
      <c r="F77" s="471"/>
      <c r="G77" s="471">
        <f>'Common Adj'!AQ20</f>
        <v>-23455855.920842834</v>
      </c>
      <c r="H77" s="471"/>
      <c r="I77" s="471"/>
      <c r="J77" s="471"/>
      <c r="K77" s="471"/>
      <c r="L77" s="471"/>
      <c r="M77" s="471"/>
      <c r="N77" s="471"/>
      <c r="O77" s="471"/>
      <c r="P77" s="471"/>
      <c r="Q77" s="471"/>
      <c r="R77" s="471"/>
      <c r="S77" s="471"/>
      <c r="T77" s="471"/>
      <c r="U77" s="471"/>
      <c r="V77" s="471"/>
      <c r="W77" s="471"/>
      <c r="X77" s="471"/>
      <c r="Y77" s="471"/>
      <c r="Z77" s="471"/>
      <c r="AA77" s="471"/>
      <c r="AB77" s="471"/>
      <c r="AC77" s="469"/>
      <c r="AD77" s="469"/>
      <c r="AE77" s="469"/>
      <c r="AF77" s="469"/>
      <c r="AG77" s="469"/>
      <c r="AH77" s="469"/>
      <c r="AI77" s="469"/>
      <c r="AJ77" s="469"/>
      <c r="AK77" s="469"/>
      <c r="AL77" s="469"/>
      <c r="AM77" s="468"/>
      <c r="AN77" s="469"/>
      <c r="AO77" s="469"/>
      <c r="AP77" s="469"/>
      <c r="AQ77" s="469"/>
      <c r="AR77" s="469"/>
      <c r="AS77" s="1289"/>
      <c r="AT77" s="469"/>
      <c r="AU77" s="469"/>
      <c r="AV77" s="469"/>
      <c r="AW77" s="469"/>
      <c r="AX77" s="469"/>
      <c r="AY77" s="469"/>
      <c r="AZ77" s="469"/>
      <c r="BB77" s="467">
        <f>SUM(E77:AZ77)</f>
        <v>-80989743.146737456</v>
      </c>
      <c r="BC77" s="467">
        <f>+BB77+BC16</f>
        <v>554175896.72602034</v>
      </c>
      <c r="BD77" s="444"/>
      <c r="BE77" s="173"/>
      <c r="BF77" s="336"/>
    </row>
    <row r="78" spans="1:58" outlineLevel="1" x14ac:dyDescent="0.35">
      <c r="B78" s="464" t="s">
        <v>49</v>
      </c>
      <c r="C78" s="509">
        <v>45291</v>
      </c>
      <c r="D78" s="470">
        <f>+BC17</f>
        <v>0</v>
      </c>
      <c r="E78" s="1306"/>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2"/>
      <c r="AD78" s="472"/>
      <c r="AE78" s="472"/>
      <c r="AF78" s="472"/>
      <c r="AG78" s="472"/>
      <c r="AH78" s="472"/>
      <c r="AI78" s="472"/>
      <c r="AJ78" s="472"/>
      <c r="AK78" s="472"/>
      <c r="AL78" s="472"/>
      <c r="AM78" s="471"/>
      <c r="AN78" s="472"/>
      <c r="AO78" s="472"/>
      <c r="AP78" s="472"/>
      <c r="AQ78" s="472"/>
      <c r="AR78" s="472"/>
      <c r="AS78" s="1290"/>
      <c r="AT78" s="472"/>
      <c r="AU78" s="472"/>
      <c r="AV78" s="472"/>
      <c r="AW78" s="472"/>
      <c r="AX78" s="472"/>
      <c r="AY78" s="472"/>
      <c r="AZ78" s="472"/>
      <c r="BB78" s="470">
        <f>SUM(E78:AZ78)</f>
        <v>0</v>
      </c>
      <c r="BC78" s="470">
        <f>+BB78+BC17</f>
        <v>0</v>
      </c>
      <c r="BD78" s="444"/>
      <c r="BE78" s="173"/>
      <c r="BF78" s="336"/>
    </row>
    <row r="79" spans="1:58" outlineLevel="1" x14ac:dyDescent="0.35">
      <c r="B79" s="464" t="s">
        <v>50</v>
      </c>
      <c r="C79" s="509">
        <v>45291</v>
      </c>
      <c r="D79" s="470">
        <f>+BC18</f>
        <v>0</v>
      </c>
      <c r="E79" s="1306"/>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2"/>
      <c r="AD79" s="472"/>
      <c r="AE79" s="472"/>
      <c r="AF79" s="472"/>
      <c r="AG79" s="472"/>
      <c r="AH79" s="472"/>
      <c r="AI79" s="472"/>
      <c r="AJ79" s="472"/>
      <c r="AK79" s="472"/>
      <c r="AL79" s="472"/>
      <c r="AM79" s="471"/>
      <c r="AN79" s="472"/>
      <c r="AO79" s="472"/>
      <c r="AP79" s="472"/>
      <c r="AQ79" s="472"/>
      <c r="AR79" s="472"/>
      <c r="AS79" s="1290"/>
      <c r="AT79" s="472"/>
      <c r="AU79" s="472"/>
      <c r="AV79" s="472"/>
      <c r="AW79" s="472"/>
      <c r="AX79" s="472"/>
      <c r="AY79" s="472"/>
      <c r="AZ79" s="472"/>
      <c r="BB79" s="470">
        <f>SUM(E79:AZ79)</f>
        <v>0</v>
      </c>
      <c r="BC79" s="470">
        <f>+BB79+BC18</f>
        <v>0</v>
      </c>
      <c r="BD79" s="444"/>
      <c r="BE79" s="173"/>
      <c r="BF79" s="336"/>
    </row>
    <row r="80" spans="1:58" outlineLevel="1" x14ac:dyDescent="0.35">
      <c r="B80" s="464" t="s">
        <v>51</v>
      </c>
      <c r="C80" s="509">
        <v>45291</v>
      </c>
      <c r="D80" s="470">
        <f>+BC19</f>
        <v>21693170</v>
      </c>
      <c r="E80" s="1306">
        <f>'Common Adj'!G54</f>
        <v>-836935.66999999993</v>
      </c>
      <c r="F80" s="471"/>
      <c r="G80" s="471"/>
      <c r="H80" s="471"/>
      <c r="I80" s="471"/>
      <c r="J80" s="471"/>
      <c r="K80" s="471"/>
      <c r="L80" s="471"/>
      <c r="M80" s="471"/>
      <c r="N80" s="471"/>
      <c r="O80" s="471"/>
      <c r="P80" s="471"/>
      <c r="Q80" s="471"/>
      <c r="R80" s="471"/>
      <c r="S80" s="471"/>
      <c r="T80" s="471"/>
      <c r="U80" s="471"/>
      <c r="V80" s="471"/>
      <c r="W80" s="471"/>
      <c r="X80" s="471"/>
      <c r="Y80" s="471"/>
      <c r="Z80" s="471"/>
      <c r="AA80" s="471"/>
      <c r="AB80" s="471">
        <f>+'Common Adj'!PE38</f>
        <v>0</v>
      </c>
      <c r="AC80" s="472"/>
      <c r="AD80" s="472"/>
      <c r="AE80" s="472"/>
      <c r="AF80" s="472"/>
      <c r="AG80" s="472"/>
      <c r="AH80" s="472"/>
      <c r="AI80" s="472"/>
      <c r="AJ80" s="472"/>
      <c r="AK80" s="472"/>
      <c r="AL80" s="472"/>
      <c r="AM80" s="471"/>
      <c r="AN80" s="472"/>
      <c r="AO80" s="472"/>
      <c r="AP80" s="472">
        <f>'Gas Adj'!BI36</f>
        <v>-20081109</v>
      </c>
      <c r="AQ80" s="472">
        <f>-'Gas Adj'!CA33-'Gas Adj'!CA36</f>
        <v>-1336792.368297589</v>
      </c>
      <c r="AR80" s="472"/>
      <c r="AS80" s="1290"/>
      <c r="AT80" s="472"/>
      <c r="AU80" s="472"/>
      <c r="AV80" s="472"/>
      <c r="AW80" s="472"/>
      <c r="AX80" s="472"/>
      <c r="AY80" s="472"/>
      <c r="AZ80" s="472"/>
      <c r="BB80" s="470">
        <f>SUM(E80:AZ80)</f>
        <v>-22254837.03829759</v>
      </c>
      <c r="BC80" s="470">
        <f>+BB80+BC19</f>
        <v>-561667.03829758987</v>
      </c>
      <c r="BD80" s="444"/>
      <c r="BE80" s="173"/>
      <c r="BF80" s="336"/>
    </row>
    <row r="81" spans="2:58" outlineLevel="1" x14ac:dyDescent="0.35">
      <c r="B81" s="464" t="s">
        <v>58</v>
      </c>
      <c r="C81" s="509">
        <v>45291</v>
      </c>
      <c r="D81" s="473">
        <f>SUM(D77:D80)</f>
        <v>656858809.87275779</v>
      </c>
      <c r="E81" s="1291">
        <f t="shared" ref="E81:AD81" si="47">SUM(E77:E80)</f>
        <v>-58370822.895894624</v>
      </c>
      <c r="F81" s="436">
        <f t="shared" si="47"/>
        <v>0</v>
      </c>
      <c r="G81" s="436">
        <f t="shared" si="47"/>
        <v>-23455855.920842834</v>
      </c>
      <c r="H81" s="436">
        <f t="shared" si="47"/>
        <v>0</v>
      </c>
      <c r="I81" s="436">
        <f t="shared" si="47"/>
        <v>0</v>
      </c>
      <c r="J81" s="436">
        <f t="shared" si="47"/>
        <v>0</v>
      </c>
      <c r="K81" s="436">
        <f t="shared" si="47"/>
        <v>0</v>
      </c>
      <c r="L81" s="436">
        <f t="shared" si="47"/>
        <v>0</v>
      </c>
      <c r="M81" s="436">
        <f t="shared" si="47"/>
        <v>0</v>
      </c>
      <c r="N81" s="436">
        <f t="shared" si="47"/>
        <v>0</v>
      </c>
      <c r="O81" s="436">
        <f t="shared" si="47"/>
        <v>0</v>
      </c>
      <c r="P81" s="436">
        <f t="shared" si="47"/>
        <v>0</v>
      </c>
      <c r="Q81" s="436">
        <f t="shared" si="47"/>
        <v>0</v>
      </c>
      <c r="R81" s="436">
        <f t="shared" si="47"/>
        <v>0</v>
      </c>
      <c r="S81" s="436">
        <f t="shared" si="47"/>
        <v>0</v>
      </c>
      <c r="T81" s="436">
        <f t="shared" si="47"/>
        <v>0</v>
      </c>
      <c r="U81" s="436">
        <f t="shared" si="47"/>
        <v>0</v>
      </c>
      <c r="V81" s="436">
        <f t="shared" si="47"/>
        <v>0</v>
      </c>
      <c r="W81" s="436">
        <f t="shared" si="47"/>
        <v>0</v>
      </c>
      <c r="X81" s="436">
        <f t="shared" si="47"/>
        <v>0</v>
      </c>
      <c r="Y81" s="436">
        <f t="shared" si="47"/>
        <v>0</v>
      </c>
      <c r="Z81" s="436">
        <f t="shared" si="47"/>
        <v>0</v>
      </c>
      <c r="AA81" s="436">
        <f t="shared" si="47"/>
        <v>0</v>
      </c>
      <c r="AB81" s="436">
        <f t="shared" si="47"/>
        <v>0</v>
      </c>
      <c r="AC81" s="436">
        <f t="shared" si="47"/>
        <v>0</v>
      </c>
      <c r="AD81" s="436">
        <f t="shared" si="47"/>
        <v>0</v>
      </c>
      <c r="AE81" s="436">
        <f t="shared" ref="AE81:AR81" si="48">SUM(AE77:AE80)</f>
        <v>0</v>
      </c>
      <c r="AF81" s="436">
        <f t="shared" si="48"/>
        <v>0</v>
      </c>
      <c r="AG81" s="436">
        <f>SUM(AG77:AG80)</f>
        <v>0</v>
      </c>
      <c r="AH81" s="436">
        <f>SUM(AH77:AH80)</f>
        <v>0</v>
      </c>
      <c r="AI81" s="436">
        <f t="shared" si="48"/>
        <v>0</v>
      </c>
      <c r="AJ81" s="436"/>
      <c r="AK81" s="436">
        <f t="shared" si="48"/>
        <v>0</v>
      </c>
      <c r="AL81" s="436">
        <f t="shared" si="48"/>
        <v>0</v>
      </c>
      <c r="AM81" s="474">
        <f t="shared" ref="AM81:AN81" si="49">SUM(AM77:AM80)</f>
        <v>0</v>
      </c>
      <c r="AN81" s="474">
        <f t="shared" si="49"/>
        <v>0</v>
      </c>
      <c r="AO81" s="474">
        <f t="shared" ref="AO81" si="50">SUM(AO77:AO80)</f>
        <v>0</v>
      </c>
      <c r="AP81" s="436">
        <f t="shared" si="48"/>
        <v>-20081109</v>
      </c>
      <c r="AQ81" s="436">
        <f t="shared" si="48"/>
        <v>-1336792.368297589</v>
      </c>
      <c r="AR81" s="436">
        <f t="shared" si="48"/>
        <v>0</v>
      </c>
      <c r="AS81" s="1291">
        <f t="shared" ref="AS81" si="51">SUM(AS77:AS80)</f>
        <v>0</v>
      </c>
      <c r="AT81" s="436"/>
      <c r="AU81" s="436"/>
      <c r="AV81" s="436"/>
      <c r="AW81" s="436"/>
      <c r="AX81" s="436"/>
      <c r="AY81" s="436"/>
      <c r="AZ81" s="436"/>
      <c r="BB81" s="473">
        <f>SUM(BB77:BB80)</f>
        <v>-103244580.18503505</v>
      </c>
      <c r="BC81" s="473">
        <f>SUM(BC77:BC80)</f>
        <v>553614229.6877228</v>
      </c>
      <c r="BD81" s="444"/>
      <c r="BE81" s="173"/>
      <c r="BF81" s="336"/>
    </row>
    <row r="82" spans="2:58" outlineLevel="1" x14ac:dyDescent="0.35">
      <c r="B82" s="475"/>
      <c r="C82" s="509">
        <v>45291</v>
      </c>
      <c r="D82" s="470"/>
      <c r="E82" s="1290"/>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72"/>
      <c r="AM82" s="471"/>
      <c r="AN82" s="472"/>
      <c r="AO82" s="472"/>
      <c r="AP82" s="472"/>
      <c r="AQ82" s="472"/>
      <c r="AR82" s="472"/>
      <c r="AS82" s="1290"/>
      <c r="AT82" s="472"/>
      <c r="AU82" s="472"/>
      <c r="AV82" s="472"/>
      <c r="AW82" s="472"/>
      <c r="AX82" s="472"/>
      <c r="AY82" s="472"/>
      <c r="AZ82" s="472"/>
      <c r="BB82" s="470"/>
      <c r="BC82" s="470"/>
      <c r="BD82" s="444"/>
      <c r="BE82" s="173"/>
      <c r="BF82" s="336"/>
    </row>
    <row r="83" spans="2:58" outlineLevel="1" x14ac:dyDescent="0.35">
      <c r="B83" s="464" t="s">
        <v>52</v>
      </c>
      <c r="C83" s="509">
        <v>45291</v>
      </c>
      <c r="D83" s="466"/>
      <c r="E83" s="1279"/>
      <c r="AM83" s="341"/>
      <c r="AS83" s="1279"/>
      <c r="BB83" s="466"/>
      <c r="BC83" s="466"/>
      <c r="BD83" s="444"/>
      <c r="BE83" s="173"/>
      <c r="BF83" s="336"/>
    </row>
    <row r="84" spans="2:58" outlineLevel="1" x14ac:dyDescent="0.35">
      <c r="C84" s="509">
        <v>45291</v>
      </c>
      <c r="D84" s="466"/>
      <c r="E84" s="1279"/>
      <c r="AM84" s="341"/>
      <c r="AS84" s="1279"/>
      <c r="BB84" s="466"/>
      <c r="BC84" s="466"/>
      <c r="BD84" s="444"/>
      <c r="BE84" s="173"/>
      <c r="BF84" s="336"/>
    </row>
    <row r="85" spans="2:58" outlineLevel="1" x14ac:dyDescent="0.35">
      <c r="B85" s="464" t="s">
        <v>53</v>
      </c>
      <c r="C85" s="509">
        <v>45291</v>
      </c>
      <c r="D85" s="466"/>
      <c r="E85" s="1279"/>
      <c r="AM85" s="341"/>
      <c r="AS85" s="1279"/>
      <c r="BB85" s="466"/>
      <c r="BC85" s="466"/>
      <c r="BD85" s="444"/>
      <c r="BE85" s="173"/>
      <c r="BF85" s="336"/>
    </row>
    <row r="86" spans="2:58" outlineLevel="1" x14ac:dyDescent="0.35">
      <c r="B86" s="464" t="s">
        <v>54</v>
      </c>
      <c r="C86" s="509">
        <v>45291</v>
      </c>
      <c r="D86" s="476">
        <f>+BC25</f>
        <v>0</v>
      </c>
      <c r="E86" s="1292"/>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420"/>
      <c r="AN86" s="173"/>
      <c r="AO86" s="173"/>
      <c r="AP86" s="173"/>
      <c r="AQ86" s="173"/>
      <c r="AR86" s="173"/>
      <c r="AS86" s="1292"/>
      <c r="AT86" s="173"/>
      <c r="AU86" s="173"/>
      <c r="AV86" s="173"/>
      <c r="AW86" s="173"/>
      <c r="AX86" s="173"/>
      <c r="AY86" s="173"/>
      <c r="AZ86" s="173"/>
      <c r="BB86" s="476">
        <f>SUM(E86:AZ86)</f>
        <v>0</v>
      </c>
      <c r="BC86" s="476">
        <f>+BB86+BC25</f>
        <v>0</v>
      </c>
      <c r="BD86" s="444"/>
      <c r="BE86" s="173"/>
      <c r="BF86" s="336"/>
    </row>
    <row r="87" spans="2:58" outlineLevel="1" x14ac:dyDescent="0.35">
      <c r="B87" s="464" t="s">
        <v>55</v>
      </c>
      <c r="C87" s="509">
        <v>45291</v>
      </c>
      <c r="D87" s="470">
        <f>+BC26</f>
        <v>0</v>
      </c>
      <c r="E87" s="1290"/>
      <c r="F87" s="472"/>
      <c r="G87" s="472"/>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2"/>
      <c r="AJ87" s="472"/>
      <c r="AK87" s="472"/>
      <c r="AL87" s="472"/>
      <c r="AM87" s="471"/>
      <c r="AN87" s="472"/>
      <c r="AO87" s="472"/>
      <c r="AP87" s="472"/>
      <c r="AQ87" s="472"/>
      <c r="AR87" s="472"/>
      <c r="AS87" s="1290"/>
      <c r="AT87" s="472"/>
      <c r="AU87" s="472"/>
      <c r="AV87" s="472"/>
      <c r="AW87" s="472"/>
      <c r="AX87" s="472"/>
      <c r="AY87" s="472"/>
      <c r="AZ87" s="472"/>
      <c r="BB87" s="470">
        <f>SUM(E87:AZ87)</f>
        <v>0</v>
      </c>
      <c r="BC87" s="470">
        <f>+BB87+BC26</f>
        <v>0</v>
      </c>
      <c r="BD87" s="444"/>
      <c r="BE87" s="173"/>
      <c r="BF87" s="336"/>
    </row>
    <row r="88" spans="2:58" outlineLevel="1" x14ac:dyDescent="0.35">
      <c r="B88" s="464" t="s">
        <v>56</v>
      </c>
      <c r="C88" s="509">
        <v>45291</v>
      </c>
      <c r="D88" s="470">
        <f>+BC27</f>
        <v>0</v>
      </c>
      <c r="E88" s="1290"/>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1"/>
      <c r="AN88" s="472"/>
      <c r="AO88" s="472"/>
      <c r="AP88" s="472"/>
      <c r="AQ88" s="472"/>
      <c r="AR88" s="472"/>
      <c r="AS88" s="1290"/>
      <c r="AT88" s="472"/>
      <c r="AU88" s="472"/>
      <c r="AV88" s="472"/>
      <c r="AW88" s="472"/>
      <c r="AX88" s="472"/>
      <c r="AY88" s="472"/>
      <c r="AZ88" s="472"/>
      <c r="BB88" s="470">
        <f>SUM(E88:AZ88)</f>
        <v>0</v>
      </c>
      <c r="BC88" s="470">
        <f>+BB88+BC27</f>
        <v>0</v>
      </c>
      <c r="BD88" s="444"/>
      <c r="BE88" s="173"/>
      <c r="BF88" s="336"/>
    </row>
    <row r="89" spans="2:58" outlineLevel="1" x14ac:dyDescent="0.35">
      <c r="B89" s="329" t="s">
        <v>57</v>
      </c>
      <c r="C89" s="509">
        <v>45291</v>
      </c>
      <c r="D89" s="470">
        <f>+BC28</f>
        <v>0</v>
      </c>
      <c r="E89" s="1290"/>
      <c r="F89" s="472"/>
      <c r="G89" s="472"/>
      <c r="H89" s="472"/>
      <c r="I89" s="472"/>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K89" s="472"/>
      <c r="AL89" s="472"/>
      <c r="AM89" s="471"/>
      <c r="AN89" s="472"/>
      <c r="AO89" s="472"/>
      <c r="AP89" s="472"/>
      <c r="AQ89" s="472"/>
      <c r="AR89" s="472"/>
      <c r="AS89" s="1290"/>
      <c r="AT89" s="472"/>
      <c r="AU89" s="472"/>
      <c r="AV89" s="472"/>
      <c r="AW89" s="472"/>
      <c r="AX89" s="472"/>
      <c r="AY89" s="472"/>
      <c r="AZ89" s="472"/>
      <c r="BB89" s="470">
        <f>SUM(E89:AZ89)</f>
        <v>0</v>
      </c>
      <c r="BC89" s="470">
        <f>+BB89+BC28</f>
        <v>0</v>
      </c>
      <c r="BD89" s="444"/>
      <c r="BE89" s="173"/>
      <c r="BF89" s="336"/>
    </row>
    <row r="90" spans="2:58" outlineLevel="1" x14ac:dyDescent="0.35">
      <c r="B90" s="464" t="s">
        <v>1</v>
      </c>
      <c r="C90" s="509">
        <v>45291</v>
      </c>
      <c r="D90" s="477">
        <f>SUM(D85:D89)</f>
        <v>0</v>
      </c>
      <c r="E90" s="1293">
        <f t="shared" ref="E90:AD90" si="52">SUM(E85:E89)</f>
        <v>0</v>
      </c>
      <c r="F90" s="479">
        <f t="shared" si="52"/>
        <v>0</v>
      </c>
      <c r="G90" s="479">
        <f t="shared" si="52"/>
        <v>0</v>
      </c>
      <c r="H90" s="479">
        <f t="shared" si="52"/>
        <v>0</v>
      </c>
      <c r="I90" s="479">
        <f t="shared" si="52"/>
        <v>0</v>
      </c>
      <c r="J90" s="479">
        <f t="shared" si="52"/>
        <v>0</v>
      </c>
      <c r="K90" s="479">
        <f t="shared" si="52"/>
        <v>0</v>
      </c>
      <c r="L90" s="479">
        <f t="shared" si="52"/>
        <v>0</v>
      </c>
      <c r="M90" s="479">
        <f t="shared" si="52"/>
        <v>0</v>
      </c>
      <c r="N90" s="479">
        <f t="shared" si="52"/>
        <v>0</v>
      </c>
      <c r="O90" s="479">
        <f t="shared" si="52"/>
        <v>0</v>
      </c>
      <c r="P90" s="479">
        <f t="shared" si="52"/>
        <v>0</v>
      </c>
      <c r="Q90" s="479">
        <f t="shared" si="52"/>
        <v>0</v>
      </c>
      <c r="R90" s="479">
        <f t="shared" si="52"/>
        <v>0</v>
      </c>
      <c r="S90" s="479">
        <f t="shared" si="52"/>
        <v>0</v>
      </c>
      <c r="T90" s="479">
        <f t="shared" si="52"/>
        <v>0</v>
      </c>
      <c r="U90" s="479">
        <f t="shared" si="52"/>
        <v>0</v>
      </c>
      <c r="V90" s="479">
        <f t="shared" si="52"/>
        <v>0</v>
      </c>
      <c r="W90" s="479">
        <f t="shared" si="52"/>
        <v>0</v>
      </c>
      <c r="X90" s="479">
        <f t="shared" si="52"/>
        <v>0</v>
      </c>
      <c r="Y90" s="479">
        <f t="shared" si="52"/>
        <v>0</v>
      </c>
      <c r="Z90" s="479">
        <f t="shared" si="52"/>
        <v>0</v>
      </c>
      <c r="AA90" s="479">
        <f t="shared" si="52"/>
        <v>0</v>
      </c>
      <c r="AB90" s="479">
        <f t="shared" si="52"/>
        <v>0</v>
      </c>
      <c r="AC90" s="479">
        <f t="shared" si="52"/>
        <v>0</v>
      </c>
      <c r="AD90" s="479">
        <f t="shared" si="52"/>
        <v>0</v>
      </c>
      <c r="AE90" s="479">
        <f t="shared" ref="AE90:AR90" si="53">SUM(AE85:AE89)</f>
        <v>0</v>
      </c>
      <c r="AF90" s="479">
        <f t="shared" si="53"/>
        <v>0</v>
      </c>
      <c r="AG90" s="479">
        <f>SUM(AG85:AG89)</f>
        <v>0</v>
      </c>
      <c r="AH90" s="479">
        <f>SUM(AH85:AH89)</f>
        <v>0</v>
      </c>
      <c r="AI90" s="479">
        <f t="shared" si="53"/>
        <v>0</v>
      </c>
      <c r="AJ90" s="479"/>
      <c r="AK90" s="479">
        <f t="shared" si="53"/>
        <v>0</v>
      </c>
      <c r="AL90" s="479">
        <f t="shared" si="53"/>
        <v>0</v>
      </c>
      <c r="AM90" s="479">
        <f t="shared" ref="AM90:AN90" si="54">SUM(AM85:AM89)</f>
        <v>0</v>
      </c>
      <c r="AN90" s="479">
        <f t="shared" si="54"/>
        <v>0</v>
      </c>
      <c r="AO90" s="479">
        <f t="shared" ref="AO90" si="55">SUM(AO85:AO89)</f>
        <v>0</v>
      </c>
      <c r="AP90" s="479">
        <f t="shared" si="53"/>
        <v>0</v>
      </c>
      <c r="AQ90" s="479">
        <f t="shared" si="53"/>
        <v>0</v>
      </c>
      <c r="AR90" s="479">
        <f t="shared" si="53"/>
        <v>0</v>
      </c>
      <c r="AS90" s="1293">
        <f t="shared" ref="AS90" si="56">SUM(AS85:AS89)</f>
        <v>0</v>
      </c>
      <c r="AT90" s="479"/>
      <c r="AU90" s="479"/>
      <c r="AV90" s="479"/>
      <c r="AW90" s="479"/>
      <c r="AX90" s="479"/>
      <c r="AY90" s="479"/>
      <c r="AZ90" s="479"/>
      <c r="BB90" s="477">
        <f>SUM(BB85:BB89)</f>
        <v>0</v>
      </c>
      <c r="BC90" s="477">
        <f>SUM(BC85:BC89)</f>
        <v>0</v>
      </c>
      <c r="BD90" s="444"/>
      <c r="BE90" s="173"/>
      <c r="BF90" s="336"/>
    </row>
    <row r="91" spans="2:58" outlineLevel="1" x14ac:dyDescent="0.35">
      <c r="B91" s="464"/>
      <c r="C91" s="509">
        <v>45291</v>
      </c>
      <c r="D91" s="476"/>
      <c r="E91" s="1292"/>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292"/>
      <c r="AT91" s="173"/>
      <c r="AU91" s="173"/>
      <c r="AV91" s="173"/>
      <c r="AW91" s="173"/>
      <c r="AX91" s="173"/>
      <c r="AY91" s="173"/>
      <c r="AZ91" s="173"/>
      <c r="BB91" s="476"/>
      <c r="BC91" s="476"/>
      <c r="BD91" s="444"/>
      <c r="BE91" s="173"/>
      <c r="BF91" s="336"/>
    </row>
    <row r="92" spans="2:58" outlineLevel="1" x14ac:dyDescent="0.35">
      <c r="B92" s="480" t="s">
        <v>59</v>
      </c>
      <c r="C92" s="509">
        <v>45291</v>
      </c>
      <c r="D92" s="470">
        <f t="shared" ref="D92:D105" si="57">+BC31</f>
        <v>7851364.4197196011</v>
      </c>
      <c r="E92" s="1290"/>
      <c r="F92" s="472"/>
      <c r="G92" s="472"/>
      <c r="H92" s="472"/>
      <c r="I92" s="472"/>
      <c r="J92" s="472"/>
      <c r="K92" s="472"/>
      <c r="L92" s="472"/>
      <c r="M92" s="472"/>
      <c r="N92" s="472"/>
      <c r="O92" s="472">
        <f>'Common Adj'!GE18+'Common Adj'!GE17+'Common Adj'!GE19</f>
        <v>17167.652464941577</v>
      </c>
      <c r="P92" s="472"/>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1"/>
      <c r="AN92" s="472"/>
      <c r="AO92" s="472"/>
      <c r="AP92" s="472"/>
      <c r="AQ92" s="472"/>
      <c r="AR92" s="472"/>
      <c r="AS92" s="1290"/>
      <c r="AT92" s="173"/>
      <c r="AU92" s="173"/>
      <c r="AV92" s="173"/>
      <c r="AW92" s="173"/>
      <c r="AX92" s="173"/>
      <c r="AY92" s="173"/>
      <c r="AZ92" s="173"/>
      <c r="BB92" s="470">
        <f t="shared" ref="BB92:BB105" si="58">SUM(E92:AZ92)</f>
        <v>17167.652464941577</v>
      </c>
      <c r="BC92" s="476">
        <f t="shared" ref="BC92:BC105" si="59">+BB92+BC31</f>
        <v>7868532.0721845422</v>
      </c>
      <c r="BD92" s="444"/>
      <c r="BE92" s="173">
        <f>+'Detailed Summary'!CB28-BC92</f>
        <v>-7868532.0721845422</v>
      </c>
      <c r="BF92" s="336"/>
    </row>
    <row r="93" spans="2:58" outlineLevel="1" x14ac:dyDescent="0.35">
      <c r="B93" s="464" t="s">
        <v>60</v>
      </c>
      <c r="C93" s="509">
        <v>45291</v>
      </c>
      <c r="D93" s="470">
        <f t="shared" si="57"/>
        <v>0</v>
      </c>
      <c r="E93" s="1290"/>
      <c r="F93" s="472"/>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472"/>
      <c r="AG93" s="472"/>
      <c r="AH93" s="472"/>
      <c r="AI93" s="472"/>
      <c r="AJ93" s="472"/>
      <c r="AK93" s="472"/>
      <c r="AL93" s="472"/>
      <c r="AM93" s="471"/>
      <c r="AN93" s="472"/>
      <c r="AO93" s="472"/>
      <c r="AP93" s="472"/>
      <c r="AQ93" s="472"/>
      <c r="AR93" s="472"/>
      <c r="AS93" s="1290"/>
      <c r="AT93" s="472"/>
      <c r="AU93" s="472"/>
      <c r="AV93" s="472"/>
      <c r="AW93" s="472"/>
      <c r="AX93" s="472"/>
      <c r="AY93" s="472"/>
      <c r="AZ93" s="472"/>
      <c r="BB93" s="470">
        <f t="shared" si="58"/>
        <v>0</v>
      </c>
      <c r="BC93" s="470">
        <f t="shared" si="59"/>
        <v>0</v>
      </c>
      <c r="BD93" s="444"/>
      <c r="BE93" s="173">
        <f>+'Detailed Summary'!CB29-BC93</f>
        <v>0</v>
      </c>
      <c r="BF93" s="336"/>
    </row>
    <row r="94" spans="2:58" outlineLevel="1" x14ac:dyDescent="0.35">
      <c r="B94" s="464" t="s">
        <v>61</v>
      </c>
      <c r="C94" s="509">
        <v>45291</v>
      </c>
      <c r="D94" s="470">
        <f t="shared" si="57"/>
        <v>64343928.925504744</v>
      </c>
      <c r="E94" s="1290"/>
      <c r="F94" s="472"/>
      <c r="G94" s="472"/>
      <c r="H94" s="472"/>
      <c r="I94" s="472"/>
      <c r="J94" s="472"/>
      <c r="K94" s="472"/>
      <c r="L94" s="472"/>
      <c r="M94" s="472"/>
      <c r="N94" s="472"/>
      <c r="O94" s="472">
        <f>+'Common Adj'!GE21</f>
        <v>102514.21329824883</v>
      </c>
      <c r="P94" s="472"/>
      <c r="Q94" s="472"/>
      <c r="R94" s="472"/>
      <c r="S94" s="472"/>
      <c r="T94" s="472"/>
      <c r="U94" s="472"/>
      <c r="V94" s="472"/>
      <c r="W94" s="472"/>
      <c r="X94" s="472"/>
      <c r="Y94" s="472"/>
      <c r="Z94" s="472"/>
      <c r="AA94" s="472"/>
      <c r="AB94" s="472"/>
      <c r="AC94" s="472"/>
      <c r="AD94" s="472"/>
      <c r="AE94" s="472"/>
      <c r="AF94" s="472"/>
      <c r="AG94" s="472"/>
      <c r="AH94" s="472"/>
      <c r="AI94" s="472"/>
      <c r="AJ94" s="472"/>
      <c r="AK94" s="472"/>
      <c r="AL94" s="472"/>
      <c r="AM94" s="471"/>
      <c r="AN94" s="472"/>
      <c r="AO94" s="472"/>
      <c r="AP94" s="472"/>
      <c r="AQ94" s="472"/>
      <c r="AR94" s="472"/>
      <c r="AS94" s="1290"/>
      <c r="AT94" s="472"/>
      <c r="AU94" s="472"/>
      <c r="AV94" s="472"/>
      <c r="AW94" s="472"/>
      <c r="AX94" s="472"/>
      <c r="AY94" s="472"/>
      <c r="AZ94" s="472"/>
      <c r="BB94" s="470">
        <f t="shared" si="58"/>
        <v>102514.21329824883</v>
      </c>
      <c r="BC94" s="470">
        <f t="shared" si="59"/>
        <v>64446443.13880299</v>
      </c>
      <c r="BD94" s="444"/>
      <c r="BE94" s="173">
        <f>+'Detailed Summary'!CB30-BC94</f>
        <v>-64446443.13880299</v>
      </c>
      <c r="BF94" s="336"/>
    </row>
    <row r="95" spans="2:58" outlineLevel="1" x14ac:dyDescent="0.35">
      <c r="B95" s="464" t="s">
        <v>62</v>
      </c>
      <c r="C95" s="509">
        <v>45291</v>
      </c>
      <c r="D95" s="470">
        <f t="shared" si="57"/>
        <v>23763613.908030342</v>
      </c>
      <c r="E95" s="1290">
        <f>'Common Adj'!G64</f>
        <v>-168750.04899203134</v>
      </c>
      <c r="F95" s="472"/>
      <c r="G95" s="472">
        <f>'Common Adj'!AQ22</f>
        <v>-67810.879467156628</v>
      </c>
      <c r="H95" s="472"/>
      <c r="I95" s="472"/>
      <c r="J95" s="472"/>
      <c r="K95" s="472"/>
      <c r="L95" s="472"/>
      <c r="M95" s="472"/>
      <c r="N95" s="472"/>
      <c r="O95" s="472">
        <f>+'Common Adj'!GE22</f>
        <v>22922.424210030236</v>
      </c>
      <c r="P95" s="472"/>
      <c r="Q95" s="472"/>
      <c r="R95" s="472"/>
      <c r="S95" s="472"/>
      <c r="T95" s="472"/>
      <c r="U95" s="472"/>
      <c r="V95" s="472"/>
      <c r="W95" s="472"/>
      <c r="X95" s="472"/>
      <c r="Y95" s="472"/>
      <c r="Z95" s="472"/>
      <c r="AA95" s="472"/>
      <c r="AB95" s="472"/>
      <c r="AC95" s="472"/>
      <c r="AD95" s="472"/>
      <c r="AE95" s="472"/>
      <c r="AF95" s="472"/>
      <c r="AG95" s="472"/>
      <c r="AH95" s="472"/>
      <c r="AI95" s="472"/>
      <c r="AJ95" s="472"/>
      <c r="AK95" s="472"/>
      <c r="AL95" s="472"/>
      <c r="AM95" s="471"/>
      <c r="AN95" s="472"/>
      <c r="AO95" s="472"/>
      <c r="AP95" s="472">
        <f>'Gas Adj'!BI40</f>
        <v>-58054.486119000001</v>
      </c>
      <c r="AQ95" s="472"/>
      <c r="AR95" s="472"/>
      <c r="AS95" s="1290"/>
      <c r="AT95" s="472"/>
      <c r="AU95" s="472"/>
      <c r="AV95" s="472"/>
      <c r="AW95" s="472"/>
      <c r="AX95" s="472"/>
      <c r="AY95" s="472"/>
      <c r="AZ95" s="472"/>
      <c r="BB95" s="470">
        <f t="shared" si="58"/>
        <v>-271692.99036815774</v>
      </c>
      <c r="BC95" s="470">
        <f t="shared" si="59"/>
        <v>23491920.917662185</v>
      </c>
      <c r="BD95" s="444"/>
      <c r="BE95" s="173">
        <f>+'Detailed Summary'!CB31-BC95</f>
        <v>-23491920.917662185</v>
      </c>
      <c r="BF95" s="336"/>
    </row>
    <row r="96" spans="2:58" outlineLevel="1" x14ac:dyDescent="0.35">
      <c r="B96" s="464" t="s">
        <v>63</v>
      </c>
      <c r="C96" s="509">
        <v>45291</v>
      </c>
      <c r="D96" s="470">
        <f t="shared" si="57"/>
        <v>2396131.6949406434</v>
      </c>
      <c r="E96" s="1290"/>
      <c r="F96" s="472"/>
      <c r="G96" s="472"/>
      <c r="H96" s="472"/>
      <c r="I96" s="472"/>
      <c r="J96" s="472"/>
      <c r="K96" s="472"/>
      <c r="L96" s="472"/>
      <c r="M96" s="472"/>
      <c r="N96" s="472"/>
      <c r="O96" s="472">
        <f>+'Common Adj'!GE23+'Common Adj'!GE24</f>
        <v>3947.409354984231</v>
      </c>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1"/>
      <c r="AN96" s="472"/>
      <c r="AO96" s="472"/>
      <c r="AP96" s="472"/>
      <c r="AQ96" s="472"/>
      <c r="AR96" s="472"/>
      <c r="AS96" s="1290"/>
      <c r="AT96" s="472"/>
      <c r="AU96" s="472"/>
      <c r="AV96" s="472"/>
      <c r="AW96" s="472"/>
      <c r="AX96" s="472"/>
      <c r="AY96" s="472"/>
      <c r="AZ96" s="472"/>
      <c r="BB96" s="470">
        <f t="shared" si="58"/>
        <v>3947.409354984231</v>
      </c>
      <c r="BC96" s="470">
        <f t="shared" si="59"/>
        <v>2400079.1042956277</v>
      </c>
      <c r="BD96" s="444"/>
      <c r="BE96" s="173">
        <f>+'Detailed Summary'!CB32-BC96</f>
        <v>-2400079.1042956277</v>
      </c>
      <c r="BF96" s="336"/>
    </row>
    <row r="97" spans="2:58" outlineLevel="1" x14ac:dyDescent="0.35">
      <c r="B97" s="464" t="s">
        <v>64</v>
      </c>
      <c r="C97" s="509">
        <v>45291</v>
      </c>
      <c r="D97" s="470">
        <f t="shared" si="57"/>
        <v>0</v>
      </c>
      <c r="E97" s="1290"/>
      <c r="F97" s="472"/>
      <c r="G97" s="472"/>
      <c r="H97" s="472"/>
      <c r="I97" s="472"/>
      <c r="J97" s="472"/>
      <c r="K97" s="472"/>
      <c r="L97" s="472"/>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472"/>
      <c r="AJ97" s="472"/>
      <c r="AK97" s="472"/>
      <c r="AL97" s="472"/>
      <c r="AM97" s="471"/>
      <c r="AN97" s="472"/>
      <c r="AO97" s="472"/>
      <c r="AP97" s="472"/>
      <c r="AQ97" s="472"/>
      <c r="AR97" s="472"/>
      <c r="AS97" s="1290"/>
      <c r="AT97" s="472"/>
      <c r="AU97" s="472"/>
      <c r="AV97" s="472"/>
      <c r="AW97" s="472"/>
      <c r="AX97" s="472"/>
      <c r="AY97" s="472"/>
      <c r="AZ97" s="472"/>
      <c r="BB97" s="470">
        <f t="shared" si="58"/>
        <v>0</v>
      </c>
      <c r="BC97" s="470">
        <f t="shared" si="59"/>
        <v>0</v>
      </c>
      <c r="BD97" s="444"/>
      <c r="BE97" s="173">
        <f>+'Detailed Summary'!CB33-BC97</f>
        <v>0</v>
      </c>
      <c r="BF97" s="336"/>
    </row>
    <row r="98" spans="2:58" outlineLevel="1" x14ac:dyDescent="0.35">
      <c r="B98" s="464" t="s">
        <v>65</v>
      </c>
      <c r="C98" s="509">
        <v>45291</v>
      </c>
      <c r="D98" s="470">
        <f t="shared" si="57"/>
        <v>74037872.21941264</v>
      </c>
      <c r="E98" s="1290">
        <f>'Common Adj'!G65</f>
        <v>-233483.29158357851</v>
      </c>
      <c r="F98" s="472"/>
      <c r="G98" s="472">
        <f>'Common Adj'!AQ23</f>
        <v>-93823.423683371337</v>
      </c>
      <c r="H98" s="472"/>
      <c r="I98" s="472"/>
      <c r="J98" s="472"/>
      <c r="K98" s="472"/>
      <c r="L98" s="472"/>
      <c r="M98" s="472">
        <f>'Common Adj'!EU23</f>
        <v>257699.55792073626</v>
      </c>
      <c r="N98" s="472"/>
      <c r="O98" s="472">
        <f>+'Common Adj'!GE25</f>
        <v>68731.311649185256</v>
      </c>
      <c r="P98" s="472"/>
      <c r="Q98" s="472"/>
      <c r="R98" s="472">
        <f>'Common Adj'!IG18</f>
        <v>0</v>
      </c>
      <c r="S98" s="472"/>
      <c r="T98" s="472"/>
      <c r="U98" s="472"/>
      <c r="V98" s="472"/>
      <c r="W98" s="472"/>
      <c r="X98" s="472"/>
      <c r="Y98" s="472"/>
      <c r="Z98" s="472"/>
      <c r="AA98" s="472"/>
      <c r="AB98" s="472"/>
      <c r="AC98" s="472"/>
      <c r="AD98" s="472"/>
      <c r="AE98" s="472"/>
      <c r="AF98" s="472"/>
      <c r="AG98" s="472"/>
      <c r="AH98" s="472"/>
      <c r="AI98" s="472"/>
      <c r="AJ98" s="472"/>
      <c r="AK98" s="472"/>
      <c r="AL98" s="472"/>
      <c r="AM98" s="471"/>
      <c r="AN98" s="472"/>
      <c r="AO98" s="472"/>
      <c r="AP98" s="472">
        <f>'Gas Adj'!BI41</f>
        <v>-80324.436000000002</v>
      </c>
      <c r="AQ98" s="472"/>
      <c r="AR98" s="472"/>
      <c r="AS98" s="1290"/>
      <c r="AT98" s="472"/>
      <c r="AU98" s="472"/>
      <c r="AV98" s="472"/>
      <c r="AW98" s="472"/>
      <c r="AX98" s="472"/>
      <c r="AY98" s="472"/>
      <c r="AZ98" s="472"/>
      <c r="BB98" s="470">
        <f t="shared" si="58"/>
        <v>-81200.281697028331</v>
      </c>
      <c r="BC98" s="470">
        <f t="shared" si="59"/>
        <v>73956671.937715605</v>
      </c>
      <c r="BD98" s="444"/>
      <c r="BE98" s="173">
        <f>+'Detailed Summary'!CB34-BC98</f>
        <v>-73956671.937715605</v>
      </c>
      <c r="BF98" s="336"/>
    </row>
    <row r="99" spans="2:58" outlineLevel="1" x14ac:dyDescent="0.35">
      <c r="B99" s="464" t="s">
        <v>66</v>
      </c>
      <c r="C99" s="509">
        <v>45291</v>
      </c>
      <c r="D99" s="470">
        <f t="shared" si="57"/>
        <v>176831094.95370534</v>
      </c>
      <c r="E99" s="1290"/>
      <c r="F99" s="472"/>
      <c r="G99" s="472"/>
      <c r="H99" s="472"/>
      <c r="I99" s="472"/>
      <c r="J99" s="472"/>
      <c r="K99" s="472"/>
      <c r="L99" s="472"/>
      <c r="M99" s="472"/>
      <c r="N99" s="472"/>
      <c r="O99" s="472"/>
      <c r="P99" s="472"/>
      <c r="Q99" s="472"/>
      <c r="R99" s="472"/>
      <c r="S99" s="472"/>
      <c r="T99" s="472"/>
      <c r="U99" s="472"/>
      <c r="V99" s="472"/>
      <c r="W99" s="472"/>
      <c r="X99" s="472"/>
      <c r="Y99" s="472"/>
      <c r="Z99" s="472"/>
      <c r="AA99" s="472">
        <f>'Common Adj'!OM32</f>
        <v>-2906116.24</v>
      </c>
      <c r="AB99" s="472"/>
      <c r="AC99" s="472"/>
      <c r="AD99" s="472"/>
      <c r="AE99" s="472">
        <f>'Common Adj'!RH17+'Common Adj'!RH18</f>
        <v>609100.87321215868</v>
      </c>
      <c r="AF99" s="472">
        <f>'Common Adj'!RZ16+'Common Adj'!RZ17</f>
        <v>-42632.08</v>
      </c>
      <c r="AG99" s="472">
        <f>'Common Adj'!$SR$16+'Common Adj'!$SR$17</f>
        <v>425404.82954999997</v>
      </c>
      <c r="AH99" s="472">
        <f>'Common Adj'!$SR$34+'Common Adj'!$SR$35</f>
        <v>403751.6999999999</v>
      </c>
      <c r="AI99" s="472">
        <f>'Common Adj'!$SR$52+'Common Adj'!$SR$53</f>
        <v>617.78</v>
      </c>
      <c r="AJ99" s="472">
        <f>'Common Adj'!$SR$70+'Common Adj'!$SR$71</f>
        <v>123997.84566999998</v>
      </c>
      <c r="AK99" s="472"/>
      <c r="AL99" s="472"/>
      <c r="AM99" s="471"/>
      <c r="AN99" s="472"/>
      <c r="AO99" s="472"/>
      <c r="AP99" s="472">
        <f>'Gas Adj'!BI42</f>
        <v>-6303193.7592588468</v>
      </c>
      <c r="AQ99" s="472"/>
      <c r="AR99" s="472">
        <f>'Gas Adj'!CS25</f>
        <v>-343654.17358200159</v>
      </c>
      <c r="AS99" s="1290">
        <f>'Gas Adj'!DB25</f>
        <v>0</v>
      </c>
      <c r="AT99" s="173"/>
      <c r="AW99" s="356"/>
      <c r="AX99" s="341"/>
      <c r="BB99" s="470">
        <f t="shared" si="58"/>
        <v>-8032723.2244086899</v>
      </c>
      <c r="BC99" s="470">
        <f t="shared" si="59"/>
        <v>168798371.72929665</v>
      </c>
      <c r="BD99" s="444"/>
      <c r="BE99" s="173">
        <f>+'Detailed Summary'!CB35-BC99</f>
        <v>-168798371.72929665</v>
      </c>
      <c r="BF99" s="336"/>
    </row>
    <row r="100" spans="2:58" outlineLevel="1" x14ac:dyDescent="0.35">
      <c r="B100" s="464" t="s">
        <v>67</v>
      </c>
      <c r="C100" s="509">
        <v>45291</v>
      </c>
      <c r="D100" s="470">
        <f t="shared" si="57"/>
        <v>25155824.610874496</v>
      </c>
      <c r="E100" s="1290"/>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f>'Common Adj'!RH19+'Common Adj'!RH20</f>
        <v>-231352.7985272482</v>
      </c>
      <c r="AF100" s="472">
        <f>'Common Adj'!RZ18+'Common Adj'!RZ19</f>
        <v>0</v>
      </c>
      <c r="AG100" s="472">
        <f>'Common Adj'!$SR$18+'Common Adj'!$SR$19</f>
        <v>185866.22726000001</v>
      </c>
      <c r="AH100" s="472">
        <f>'Common Adj'!$SR$36+'Common Adj'!$SR$37</f>
        <v>0</v>
      </c>
      <c r="AI100" s="472">
        <f>'Common Adj'!$SR$54+'Common Adj'!$SR$55</f>
        <v>0</v>
      </c>
      <c r="AJ100" s="472">
        <f>'Common Adj'!$SR$72+'Common Adj'!$SR$73</f>
        <v>256512.96409999998</v>
      </c>
      <c r="AK100" s="472"/>
      <c r="AL100" s="472"/>
      <c r="AM100" s="471"/>
      <c r="AN100" s="472"/>
      <c r="AO100" s="472"/>
      <c r="AP100" s="472"/>
      <c r="AQ100" s="472"/>
      <c r="AR100" s="472">
        <f>'Gas Adj'!CS26</f>
        <v>-74624.310999999871</v>
      </c>
      <c r="AS100" s="1290">
        <f>'Gas Adj'!DB26</f>
        <v>0</v>
      </c>
      <c r="AT100" s="472"/>
      <c r="AU100" s="472"/>
      <c r="AV100" s="472"/>
      <c r="AW100" s="471"/>
      <c r="AX100" s="471"/>
      <c r="AY100" s="472"/>
      <c r="AZ100" s="472"/>
      <c r="BB100" s="470">
        <f t="shared" si="58"/>
        <v>136402.08183275192</v>
      </c>
      <c r="BC100" s="470">
        <f t="shared" si="59"/>
        <v>25292226.692707248</v>
      </c>
      <c r="BD100" s="444"/>
      <c r="BE100" s="173">
        <f>+'Detailed Summary'!CB36-BC100</f>
        <v>-25292226.692707248</v>
      </c>
      <c r="BF100" s="336"/>
    </row>
    <row r="101" spans="2:58" outlineLevel="1" x14ac:dyDescent="0.35">
      <c r="B101" s="480" t="s">
        <v>68</v>
      </c>
      <c r="C101" s="509">
        <v>45291</v>
      </c>
      <c r="D101" s="470">
        <f t="shared" si="57"/>
        <v>0</v>
      </c>
      <c r="E101" s="1290"/>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2"/>
      <c r="AF101" s="472"/>
      <c r="AG101" s="472"/>
      <c r="AH101" s="472"/>
      <c r="AI101" s="472"/>
      <c r="AJ101" s="472"/>
      <c r="AK101" s="472"/>
      <c r="AL101" s="472"/>
      <c r="AM101" s="471"/>
      <c r="AN101" s="472"/>
      <c r="AO101" s="472"/>
      <c r="AP101" s="472"/>
      <c r="AQ101" s="472"/>
      <c r="AR101" s="472"/>
      <c r="AS101" s="1290"/>
      <c r="AT101" s="472"/>
      <c r="AU101" s="472"/>
      <c r="AV101" s="472"/>
      <c r="AW101" s="471"/>
      <c r="AX101" s="471"/>
      <c r="AY101" s="472"/>
      <c r="AZ101" s="472"/>
      <c r="BB101" s="470">
        <f t="shared" si="58"/>
        <v>0</v>
      </c>
      <c r="BC101" s="470">
        <f t="shared" si="59"/>
        <v>0</v>
      </c>
      <c r="BD101" s="444"/>
      <c r="BE101" s="173">
        <f>+'Detailed Summary'!CB37-BC101</f>
        <v>0</v>
      </c>
      <c r="BF101" s="336"/>
    </row>
    <row r="102" spans="2:58" outlineLevel="1" x14ac:dyDescent="0.35">
      <c r="B102" s="464" t="s">
        <v>69</v>
      </c>
      <c r="C102" s="509">
        <v>45291</v>
      </c>
      <c r="D102" s="470">
        <f t="shared" si="57"/>
        <v>10046294.843715593</v>
      </c>
      <c r="E102" s="1290"/>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f>'Common Adj'!PW17</f>
        <v>-10589.577548920177</v>
      </c>
      <c r="AD102" s="472"/>
      <c r="AE102" s="472"/>
      <c r="AF102" s="472"/>
      <c r="AG102" s="472"/>
      <c r="AH102" s="472"/>
      <c r="AI102" s="472"/>
      <c r="AJ102" s="472"/>
      <c r="AK102" s="472"/>
      <c r="AL102" s="472">
        <f>'Common Adj'!UW24</f>
        <v>0</v>
      </c>
      <c r="AM102" s="471"/>
      <c r="AN102" s="472"/>
      <c r="AO102" s="472"/>
      <c r="AP102" s="472">
        <f>'Gas Adj'!BI38</f>
        <v>6303193.7592588468</v>
      </c>
      <c r="AQ102" s="472">
        <f>'Gas Adj'!CA44-'Gas Adj'!CA33-'Gas Adj'!CA36</f>
        <v>1669271.8210219755</v>
      </c>
      <c r="AR102" s="472"/>
      <c r="AS102" s="1290"/>
      <c r="AT102" s="472"/>
      <c r="AU102" s="472"/>
      <c r="AV102" s="472"/>
      <c r="AW102" s="471"/>
      <c r="AX102" s="471"/>
      <c r="AY102" s="472"/>
      <c r="AZ102" s="472"/>
      <c r="BB102" s="470">
        <f t="shared" si="58"/>
        <v>7961876.0027319025</v>
      </c>
      <c r="BC102" s="470">
        <f t="shared" si="59"/>
        <v>18008170.846447498</v>
      </c>
      <c r="BD102" s="444"/>
      <c r="BE102" s="173">
        <f>+'Detailed Summary'!CB38-BC102</f>
        <v>-18008170.846447498</v>
      </c>
      <c r="BF102" s="336"/>
    </row>
    <row r="103" spans="2:58" outlineLevel="1" x14ac:dyDescent="0.35">
      <c r="B103" s="464" t="s">
        <v>70</v>
      </c>
      <c r="C103" s="509">
        <v>45291</v>
      </c>
      <c r="D103" s="470">
        <f t="shared" si="57"/>
        <v>30182274.116565451</v>
      </c>
      <c r="E103" s="1290">
        <f>'Common Adj'!G66</f>
        <v>-2241964.9366084165</v>
      </c>
      <c r="F103" s="472"/>
      <c r="G103" s="472">
        <f>'Common Adj'!AQ24</f>
        <v>-900915.97006365238</v>
      </c>
      <c r="H103" s="472"/>
      <c r="I103" s="472"/>
      <c r="J103" s="472"/>
      <c r="K103" s="472"/>
      <c r="L103" s="472"/>
      <c r="M103" s="472"/>
      <c r="N103" s="472"/>
      <c r="O103" s="472">
        <f>+'Common Adj'!GE28</f>
        <v>18923.376664912594</v>
      </c>
      <c r="P103" s="472"/>
      <c r="Q103" s="472"/>
      <c r="R103" s="472"/>
      <c r="S103" s="472"/>
      <c r="T103" s="472"/>
      <c r="U103" s="472"/>
      <c r="V103" s="472"/>
      <c r="W103" s="472"/>
      <c r="X103" s="472"/>
      <c r="Y103" s="472"/>
      <c r="Z103" s="472"/>
      <c r="AA103" s="472"/>
      <c r="AB103" s="472"/>
      <c r="AC103" s="472"/>
      <c r="AD103" s="472"/>
      <c r="AE103" s="472"/>
      <c r="AF103" s="472"/>
      <c r="AG103" s="472"/>
      <c r="AH103" s="472"/>
      <c r="AI103" s="472"/>
      <c r="AJ103" s="472"/>
      <c r="AK103" s="472"/>
      <c r="AL103" s="472"/>
      <c r="AM103" s="471"/>
      <c r="AN103" s="472"/>
      <c r="AO103" s="472"/>
      <c r="AP103" s="472">
        <f>'Gas Adj'!BI43</f>
        <v>-771295.31558099994</v>
      </c>
      <c r="AQ103" s="472"/>
      <c r="AR103" s="472"/>
      <c r="AS103" s="1290"/>
      <c r="AT103" s="472"/>
      <c r="AU103" s="472"/>
      <c r="AV103" s="472"/>
      <c r="AW103" s="471"/>
      <c r="AX103" s="471"/>
      <c r="AY103" s="472"/>
      <c r="AZ103" s="472"/>
      <c r="BB103" s="470">
        <f t="shared" si="58"/>
        <v>-3895252.845588156</v>
      </c>
      <c r="BC103" s="470">
        <f t="shared" si="59"/>
        <v>26287021.270977296</v>
      </c>
      <c r="BD103" s="444"/>
      <c r="BE103" s="173">
        <f>+'Detailed Summary'!CB39-BC103</f>
        <v>-26287021.270977296</v>
      </c>
      <c r="BF103" s="336"/>
    </row>
    <row r="104" spans="2:58" outlineLevel="1" x14ac:dyDescent="0.35">
      <c r="B104" s="464" t="s">
        <v>71</v>
      </c>
      <c r="C104" s="509">
        <v>45291</v>
      </c>
      <c r="D104" s="470">
        <f t="shared" si="57"/>
        <v>35858016.251606919</v>
      </c>
      <c r="E104" s="1290">
        <f>'Common Adj'!G70</f>
        <v>-11702591.169929225</v>
      </c>
      <c r="F104" s="472"/>
      <c r="G104" s="472">
        <f>'Common Adj'!AQ29</f>
        <v>-4702594.186002017</v>
      </c>
      <c r="H104" s="472"/>
      <c r="I104" s="472">
        <f>'Common Adj'!CA23</f>
        <v>596614.66645446536</v>
      </c>
      <c r="J104" s="472"/>
      <c r="K104" s="472"/>
      <c r="L104" s="472"/>
      <c r="M104" s="472">
        <f>'Common Adj'!EU25</f>
        <v>-54116.907163354612</v>
      </c>
      <c r="N104" s="472"/>
      <c r="O104" s="472">
        <f>+'Common Adj'!GE31</f>
        <v>-49183.341404883569</v>
      </c>
      <c r="P104" s="472"/>
      <c r="Q104" s="472"/>
      <c r="R104" s="472">
        <f>'Common Adj'!IG20</f>
        <v>0</v>
      </c>
      <c r="S104" s="472"/>
      <c r="T104" s="472"/>
      <c r="U104" s="472"/>
      <c r="V104" s="472"/>
      <c r="W104" s="472"/>
      <c r="X104" s="472"/>
      <c r="Y104" s="472"/>
      <c r="Z104" s="472"/>
      <c r="AA104" s="472">
        <f>'Common Adj'!OM34</f>
        <v>610284.41040000005</v>
      </c>
      <c r="AB104" s="472">
        <f>+'Common Adj'!PE52</f>
        <v>0</v>
      </c>
      <c r="AC104" s="472">
        <f>'Common Adj'!PW20</f>
        <v>2223.811285273237</v>
      </c>
      <c r="AD104" s="472"/>
      <c r="AE104" s="472">
        <f>'Common Adj'!RH29</f>
        <v>-79327.095683831198</v>
      </c>
      <c r="AF104" s="472">
        <f>'Common Adj'!RZ28</f>
        <v>8952.7368000000006</v>
      </c>
      <c r="AG104" s="472">
        <f>'Common Adj'!$SR$24</f>
        <v>-128366.9219301</v>
      </c>
      <c r="AH104" s="472">
        <f>'Common Adj'!$SR$42</f>
        <v>-84787.856999999975</v>
      </c>
      <c r="AI104" s="472">
        <f>'Common Adj'!$SR$60</f>
        <v>-129.7338</v>
      </c>
      <c r="AJ104" s="472">
        <f>'Common Adj'!$SR$78</f>
        <v>-79907.27005169999</v>
      </c>
      <c r="AK104" s="472"/>
      <c r="AL104" s="472">
        <f>'Common Adj'!UW26</f>
        <v>0</v>
      </c>
      <c r="AM104" s="471"/>
      <c r="AN104" s="472"/>
      <c r="AO104" s="472"/>
      <c r="AP104" s="472">
        <f>'Gas Adj'!BI48</f>
        <v>-4026001.3000829997</v>
      </c>
      <c r="AQ104" s="472">
        <f>'Gas Adj'!CA46</f>
        <v>-631273.47975710849</v>
      </c>
      <c r="AR104" s="472">
        <f>'Gas Adj'!CS29</f>
        <v>87838.481762220297</v>
      </c>
      <c r="AS104" s="1290">
        <f>'Gas Adj'!DB29</f>
        <v>0</v>
      </c>
      <c r="AT104" s="481"/>
      <c r="AU104" s="472"/>
      <c r="AV104" s="472"/>
      <c r="AW104" s="471"/>
      <c r="AX104" s="471"/>
      <c r="AY104" s="472"/>
      <c r="AZ104" s="472"/>
      <c r="BB104" s="470">
        <f t="shared" si="58"/>
        <v>-20232365.156103261</v>
      </c>
      <c r="BC104" s="470">
        <f t="shared" si="59"/>
        <v>15625651.095503658</v>
      </c>
      <c r="BD104" s="444"/>
      <c r="BE104" s="173">
        <f>+'Detailed Summary'!CB40-BC104</f>
        <v>-15625651.095503658</v>
      </c>
      <c r="BF104" s="336"/>
    </row>
    <row r="105" spans="2:58" outlineLevel="1" x14ac:dyDescent="0.35">
      <c r="B105" s="329" t="s">
        <v>72</v>
      </c>
      <c r="C105" s="509">
        <v>45291</v>
      </c>
      <c r="D105" s="470">
        <f t="shared" si="57"/>
        <v>-7153716.5864999983</v>
      </c>
      <c r="E105" s="1290"/>
      <c r="F105" s="472"/>
      <c r="G105" s="472"/>
      <c r="H105" s="472">
        <f>SUM('Common Adj'!BI17:BI19)</f>
        <v>-133104.75165847223</v>
      </c>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1"/>
      <c r="AN105" s="472"/>
      <c r="AO105" s="472"/>
      <c r="AP105" s="472"/>
      <c r="AQ105" s="472"/>
      <c r="AR105" s="472"/>
      <c r="AS105" s="1290"/>
      <c r="AT105" s="472"/>
      <c r="AU105" s="472"/>
      <c r="AV105" s="472"/>
      <c r="AW105" s="471"/>
      <c r="AX105" s="471"/>
      <c r="AY105" s="472"/>
      <c r="AZ105" s="472"/>
      <c r="BB105" s="470">
        <f t="shared" si="58"/>
        <v>-133104.75165847223</v>
      </c>
      <c r="BC105" s="470">
        <f t="shared" si="59"/>
        <v>-7286821.3381584706</v>
      </c>
      <c r="BD105" s="444"/>
      <c r="BE105" s="173">
        <f>+'Detailed Summary'!CB41-BC105</f>
        <v>7286821.3381584706</v>
      </c>
      <c r="BF105" s="336"/>
    </row>
    <row r="106" spans="2:58" outlineLevel="1" x14ac:dyDescent="0.35">
      <c r="B106" s="464" t="s">
        <v>2</v>
      </c>
      <c r="C106" s="509">
        <v>45291</v>
      </c>
      <c r="D106" s="477">
        <f>SUM(D90:D105)</f>
        <v>443312699.35757583</v>
      </c>
      <c r="E106" s="1293">
        <f t="shared" ref="E106:AF106" si="60">SUM(E90:E105)</f>
        <v>-14346789.447113251</v>
      </c>
      <c r="F106" s="479">
        <f t="shared" si="60"/>
        <v>0</v>
      </c>
      <c r="G106" s="479">
        <f t="shared" si="60"/>
        <v>-5765144.459216197</v>
      </c>
      <c r="H106" s="479">
        <f t="shared" si="60"/>
        <v>-133104.75165847223</v>
      </c>
      <c r="I106" s="479">
        <f t="shared" si="60"/>
        <v>596614.66645446536</v>
      </c>
      <c r="J106" s="479">
        <f t="shared" si="60"/>
        <v>0</v>
      </c>
      <c r="K106" s="479">
        <f t="shared" si="60"/>
        <v>0</v>
      </c>
      <c r="L106" s="479">
        <f t="shared" si="60"/>
        <v>0</v>
      </c>
      <c r="M106" s="479">
        <f t="shared" si="60"/>
        <v>203582.65075738163</v>
      </c>
      <c r="N106" s="479">
        <f t="shared" si="60"/>
        <v>0</v>
      </c>
      <c r="O106" s="479">
        <f t="shared" si="60"/>
        <v>185023.04623741916</v>
      </c>
      <c r="P106" s="479">
        <f t="shared" si="60"/>
        <v>0</v>
      </c>
      <c r="Q106" s="479">
        <f t="shared" si="60"/>
        <v>0</v>
      </c>
      <c r="R106" s="479">
        <f t="shared" si="60"/>
        <v>0</v>
      </c>
      <c r="S106" s="479">
        <f t="shared" si="60"/>
        <v>0</v>
      </c>
      <c r="T106" s="479">
        <f t="shared" si="60"/>
        <v>0</v>
      </c>
      <c r="U106" s="479">
        <f t="shared" si="60"/>
        <v>0</v>
      </c>
      <c r="V106" s="479">
        <f t="shared" si="60"/>
        <v>0</v>
      </c>
      <c r="W106" s="479">
        <f t="shared" si="60"/>
        <v>0</v>
      </c>
      <c r="X106" s="479">
        <f t="shared" si="60"/>
        <v>0</v>
      </c>
      <c r="Y106" s="479">
        <f t="shared" si="60"/>
        <v>0</v>
      </c>
      <c r="Z106" s="479">
        <f t="shared" si="60"/>
        <v>0</v>
      </c>
      <c r="AA106" s="479">
        <f t="shared" si="60"/>
        <v>-2295831.8296000003</v>
      </c>
      <c r="AB106" s="479">
        <f t="shared" si="60"/>
        <v>0</v>
      </c>
      <c r="AC106" s="479">
        <f t="shared" si="60"/>
        <v>-8365.7662636469395</v>
      </c>
      <c r="AD106" s="479">
        <f t="shared" ref="AD106" si="61">SUM(AD90:AD105)</f>
        <v>0</v>
      </c>
      <c r="AE106" s="478">
        <f t="shared" si="60"/>
        <v>298420.97900107928</v>
      </c>
      <c r="AF106" s="479">
        <f t="shared" si="60"/>
        <v>-33679.343200000003</v>
      </c>
      <c r="AG106" s="479">
        <f>SUM(AG90:AG105)</f>
        <v>482904.13487989997</v>
      </c>
      <c r="AH106" s="479">
        <f t="shared" ref="AH106:AJ106" si="62">SUM(AH90:AH105)</f>
        <v>318963.84299999994</v>
      </c>
      <c r="AI106" s="479">
        <f t="shared" si="62"/>
        <v>488.0462</v>
      </c>
      <c r="AJ106" s="479">
        <f t="shared" si="62"/>
        <v>300603.53971829993</v>
      </c>
      <c r="AK106" s="479">
        <f t="shared" ref="AK106:AL106" si="63">SUM(AK90:AK105)</f>
        <v>0</v>
      </c>
      <c r="AL106" s="479">
        <f t="shared" si="63"/>
        <v>0</v>
      </c>
      <c r="AM106" s="479">
        <f t="shared" ref="AM106:AN106" si="64">SUM(AM90:AM105)</f>
        <v>0</v>
      </c>
      <c r="AN106" s="479">
        <f t="shared" si="64"/>
        <v>0</v>
      </c>
      <c r="AO106" s="479">
        <f t="shared" ref="AO106" si="65">SUM(AO90:AO105)</f>
        <v>0</v>
      </c>
      <c r="AP106" s="479">
        <f t="shared" ref="AP106:BC106" si="66">SUM(AP90:AP105)</f>
        <v>-4935675.5377829997</v>
      </c>
      <c r="AQ106" s="479">
        <f t="shared" si="66"/>
        <v>1037998.341264867</v>
      </c>
      <c r="AR106" s="479">
        <f t="shared" si="66"/>
        <v>-330440.00281978119</v>
      </c>
      <c r="AS106" s="1293">
        <f t="shared" ref="AS106" si="67">SUM(AS90:AS105)</f>
        <v>0</v>
      </c>
      <c r="AT106" s="479"/>
      <c r="AU106" s="479"/>
      <c r="AV106" s="479"/>
      <c r="AW106" s="478"/>
      <c r="AX106" s="478"/>
      <c r="AY106" s="479"/>
      <c r="AZ106" s="479"/>
      <c r="BB106" s="477">
        <f t="shared" si="66"/>
        <v>-24424431.890140936</v>
      </c>
      <c r="BC106" s="477">
        <f t="shared" si="66"/>
        <v>418888267.46743488</v>
      </c>
      <c r="BD106" s="444"/>
      <c r="BE106" s="173">
        <f>+'Detailed Summary'!CB42-BC106</f>
        <v>-418888267.46743488</v>
      </c>
      <c r="BF106" s="336"/>
    </row>
    <row r="107" spans="2:58" outlineLevel="1" x14ac:dyDescent="0.35">
      <c r="C107" s="509">
        <v>45291</v>
      </c>
      <c r="D107" s="482"/>
      <c r="E107" s="1294"/>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363"/>
      <c r="AF107" s="483"/>
      <c r="AG107" s="483"/>
      <c r="AH107" s="483"/>
      <c r="AI107" s="483"/>
      <c r="AJ107" s="483"/>
      <c r="AK107" s="483"/>
      <c r="AL107" s="483"/>
      <c r="AM107" s="483"/>
      <c r="AN107" s="483"/>
      <c r="AO107" s="483"/>
      <c r="AP107" s="483"/>
      <c r="AQ107" s="483"/>
      <c r="AR107" s="483"/>
      <c r="AS107" s="1294"/>
      <c r="AT107" s="483"/>
      <c r="AU107" s="483"/>
      <c r="AV107" s="483"/>
      <c r="AW107" s="363"/>
      <c r="AX107" s="363"/>
      <c r="AY107" s="483"/>
      <c r="AZ107" s="483"/>
      <c r="BB107" s="482"/>
      <c r="BC107" s="482"/>
      <c r="BD107" s="444"/>
      <c r="BE107" s="173"/>
      <c r="BF107" s="336"/>
    </row>
    <row r="108" spans="2:58" ht="15" outlineLevel="1" thickBot="1" x14ac:dyDescent="0.4">
      <c r="B108" s="329" t="s">
        <v>4</v>
      </c>
      <c r="C108" s="509">
        <v>45291</v>
      </c>
      <c r="D108" s="484">
        <f>+D81-D106</f>
        <v>213546110.51518196</v>
      </c>
      <c r="E108" s="1295">
        <f t="shared" ref="E108:AF108" si="68">+E81-E106</f>
        <v>-44024033.448781371</v>
      </c>
      <c r="F108" s="486">
        <f t="shared" si="68"/>
        <v>0</v>
      </c>
      <c r="G108" s="486">
        <f t="shared" si="68"/>
        <v>-17690711.461626638</v>
      </c>
      <c r="H108" s="486">
        <f t="shared" si="68"/>
        <v>133104.75165847223</v>
      </c>
      <c r="I108" s="486">
        <f t="shared" si="68"/>
        <v>-596614.66645446536</v>
      </c>
      <c r="J108" s="486">
        <f t="shared" si="68"/>
        <v>0</v>
      </c>
      <c r="K108" s="486">
        <f t="shared" si="68"/>
        <v>0</v>
      </c>
      <c r="L108" s="486">
        <f t="shared" si="68"/>
        <v>0</v>
      </c>
      <c r="M108" s="486">
        <f t="shared" si="68"/>
        <v>-203582.65075738163</v>
      </c>
      <c r="N108" s="486">
        <f t="shared" si="68"/>
        <v>0</v>
      </c>
      <c r="O108" s="486">
        <f t="shared" si="68"/>
        <v>-185023.04623741916</v>
      </c>
      <c r="P108" s="486">
        <f t="shared" si="68"/>
        <v>0</v>
      </c>
      <c r="Q108" s="486">
        <f t="shared" si="68"/>
        <v>0</v>
      </c>
      <c r="R108" s="486">
        <f t="shared" si="68"/>
        <v>0</v>
      </c>
      <c r="S108" s="486">
        <f t="shared" si="68"/>
        <v>0</v>
      </c>
      <c r="T108" s="486">
        <f t="shared" si="68"/>
        <v>0</v>
      </c>
      <c r="U108" s="486">
        <f t="shared" si="68"/>
        <v>0</v>
      </c>
      <c r="V108" s="486">
        <f t="shared" si="68"/>
        <v>0</v>
      </c>
      <c r="W108" s="486">
        <f t="shared" si="68"/>
        <v>0</v>
      </c>
      <c r="X108" s="486">
        <f t="shared" si="68"/>
        <v>0</v>
      </c>
      <c r="Y108" s="486">
        <f t="shared" si="68"/>
        <v>0</v>
      </c>
      <c r="Z108" s="486">
        <f t="shared" si="68"/>
        <v>0</v>
      </c>
      <c r="AA108" s="486">
        <f t="shared" si="68"/>
        <v>2295831.8296000003</v>
      </c>
      <c r="AB108" s="486">
        <f t="shared" si="68"/>
        <v>0</v>
      </c>
      <c r="AC108" s="486">
        <f t="shared" si="68"/>
        <v>8365.7662636469395</v>
      </c>
      <c r="AD108" s="486">
        <f t="shared" ref="AD108" si="69">+AD81-AD106</f>
        <v>0</v>
      </c>
      <c r="AE108" s="485">
        <f t="shared" si="68"/>
        <v>-298420.97900107928</v>
      </c>
      <c r="AF108" s="486">
        <f t="shared" si="68"/>
        <v>33679.343200000003</v>
      </c>
      <c r="AG108" s="486">
        <f>+AG81-AG106</f>
        <v>-482904.13487989997</v>
      </c>
      <c r="AH108" s="486">
        <f t="shared" ref="AH108:AJ108" si="70">+AH81-AH106</f>
        <v>-318963.84299999994</v>
      </c>
      <c r="AI108" s="486">
        <f t="shared" si="70"/>
        <v>-488.0462</v>
      </c>
      <c r="AJ108" s="486">
        <f t="shared" si="70"/>
        <v>-300603.53971829993</v>
      </c>
      <c r="AK108" s="486">
        <f t="shared" ref="AK108:AN108" si="71">+AK81-AK106</f>
        <v>0</v>
      </c>
      <c r="AL108" s="486">
        <f t="shared" si="71"/>
        <v>0</v>
      </c>
      <c r="AM108" s="486">
        <f t="shared" si="71"/>
        <v>0</v>
      </c>
      <c r="AN108" s="486">
        <f t="shared" si="71"/>
        <v>0</v>
      </c>
      <c r="AO108" s="486">
        <f t="shared" ref="AO108" si="72">+AO81-AO106</f>
        <v>0</v>
      </c>
      <c r="AP108" s="486">
        <f t="shared" ref="AP108:BC108" si="73">+AP81-AP106</f>
        <v>-15145433.462216999</v>
      </c>
      <c r="AQ108" s="486">
        <f t="shared" si="73"/>
        <v>-2374790.7095624562</v>
      </c>
      <c r="AR108" s="486">
        <f t="shared" si="73"/>
        <v>330440.00281978119</v>
      </c>
      <c r="AS108" s="1295">
        <f t="shared" ref="AS108" si="74">+AS81-AS106</f>
        <v>0</v>
      </c>
      <c r="AT108" s="486"/>
      <c r="AU108" s="486"/>
      <c r="AV108" s="486"/>
      <c r="AW108" s="485"/>
      <c r="AX108" s="485"/>
      <c r="AY108" s="486"/>
      <c r="AZ108" s="486"/>
      <c r="BB108" s="484">
        <f t="shared" si="73"/>
        <v>-78820148.294894114</v>
      </c>
      <c r="BC108" s="484">
        <f t="shared" si="73"/>
        <v>134725962.22028792</v>
      </c>
      <c r="BD108" s="444"/>
      <c r="BE108" s="173"/>
      <c r="BF108" s="336"/>
    </row>
    <row r="109" spans="2:58" ht="15" outlineLevel="1" thickTop="1" x14ac:dyDescent="0.35">
      <c r="B109"/>
      <c r="C109" s="509">
        <v>45291</v>
      </c>
      <c r="D109" s="219"/>
      <c r="E109" s="129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416"/>
      <c r="AF109" s="116"/>
      <c r="AG109" s="116"/>
      <c r="AH109" s="116"/>
      <c r="AI109" s="116"/>
      <c r="AJ109" s="116"/>
      <c r="AK109" s="116"/>
      <c r="AL109" s="116"/>
      <c r="AM109" s="116"/>
      <c r="AN109" s="116"/>
      <c r="AO109" s="116"/>
      <c r="AP109" s="116"/>
      <c r="AQ109" s="116"/>
      <c r="AR109" s="116"/>
      <c r="AS109" s="1296"/>
      <c r="AT109" s="116"/>
      <c r="AU109" s="116"/>
      <c r="AV109" s="116"/>
      <c r="AW109" s="416"/>
      <c r="AX109" s="416"/>
      <c r="AY109" s="116"/>
      <c r="AZ109" s="116"/>
      <c r="BB109" s="219"/>
      <c r="BC109" s="219"/>
      <c r="BD109" s="444"/>
      <c r="BE109" s="173"/>
      <c r="BF109" s="336"/>
    </row>
    <row r="110" spans="2:58" outlineLevel="1" x14ac:dyDescent="0.35">
      <c r="B110" s="464" t="s">
        <v>124</v>
      </c>
      <c r="C110" s="509">
        <v>45291</v>
      </c>
      <c r="D110" s="476">
        <f>D121</f>
        <v>2910473035.7707138</v>
      </c>
      <c r="E110" s="1292">
        <f t="shared" ref="E110:AD110" si="75">E121</f>
        <v>0</v>
      </c>
      <c r="F110" s="173">
        <f t="shared" si="75"/>
        <v>0</v>
      </c>
      <c r="G110" s="173">
        <f t="shared" si="75"/>
        <v>0</v>
      </c>
      <c r="H110" s="173">
        <f t="shared" si="75"/>
        <v>0</v>
      </c>
      <c r="I110" s="173">
        <f t="shared" si="75"/>
        <v>0</v>
      </c>
      <c r="J110" s="173">
        <f t="shared" si="75"/>
        <v>0</v>
      </c>
      <c r="K110" s="173">
        <f t="shared" si="75"/>
        <v>0</v>
      </c>
      <c r="L110" s="173">
        <f t="shared" si="75"/>
        <v>0</v>
      </c>
      <c r="M110" s="173">
        <f t="shared" si="75"/>
        <v>0</v>
      </c>
      <c r="N110" s="173">
        <f t="shared" si="75"/>
        <v>0</v>
      </c>
      <c r="O110" s="173">
        <f t="shared" si="75"/>
        <v>0</v>
      </c>
      <c r="P110" s="173">
        <f t="shared" si="75"/>
        <v>0</v>
      </c>
      <c r="Q110" s="173">
        <f t="shared" si="75"/>
        <v>0</v>
      </c>
      <c r="R110" s="173">
        <f t="shared" si="75"/>
        <v>0</v>
      </c>
      <c r="S110" s="173">
        <f t="shared" si="75"/>
        <v>0</v>
      </c>
      <c r="T110" s="173">
        <f t="shared" si="75"/>
        <v>0</v>
      </c>
      <c r="U110" s="173">
        <f t="shared" si="75"/>
        <v>0</v>
      </c>
      <c r="V110" s="173">
        <f t="shared" si="75"/>
        <v>0</v>
      </c>
      <c r="W110" s="173">
        <f t="shared" si="75"/>
        <v>0</v>
      </c>
      <c r="X110" s="173">
        <f t="shared" si="75"/>
        <v>0</v>
      </c>
      <c r="Y110" s="173">
        <f t="shared" si="75"/>
        <v>0</v>
      </c>
      <c r="Z110" s="173">
        <f t="shared" si="75"/>
        <v>0</v>
      </c>
      <c r="AA110" s="173">
        <f t="shared" si="75"/>
        <v>-28019480.875479184</v>
      </c>
      <c r="AB110" s="173">
        <f t="shared" si="75"/>
        <v>57834387.276298791</v>
      </c>
      <c r="AC110" s="173">
        <f t="shared" si="75"/>
        <v>0</v>
      </c>
      <c r="AD110" s="173">
        <f t="shared" si="75"/>
        <v>0</v>
      </c>
      <c r="AE110" s="420">
        <f t="shared" ref="AE110:AR110" si="76">AE121</f>
        <v>-81821842.066694736</v>
      </c>
      <c r="AF110" s="173">
        <f t="shared" si="76"/>
        <v>42632.08</v>
      </c>
      <c r="AG110" s="173">
        <f>AG121</f>
        <v>63796583.976750001</v>
      </c>
      <c r="AH110" s="173">
        <f t="shared" ref="AH110:AJ110" si="77">AH121</f>
        <v>52899028.379999995</v>
      </c>
      <c r="AI110" s="173">
        <f t="shared" si="77"/>
        <v>57980.340000000004</v>
      </c>
      <c r="AJ110" s="173">
        <f t="shared" si="77"/>
        <v>46959913.410709992</v>
      </c>
      <c r="AK110" s="173">
        <f t="shared" ref="AK110:AN110" si="78">AK121</f>
        <v>0</v>
      </c>
      <c r="AL110" s="173">
        <f t="shared" si="78"/>
        <v>0</v>
      </c>
      <c r="AM110" s="173">
        <f t="shared" si="78"/>
        <v>0</v>
      </c>
      <c r="AN110" s="173">
        <f t="shared" si="78"/>
        <v>0</v>
      </c>
      <c r="AO110" s="173"/>
      <c r="AP110" s="173">
        <f t="shared" si="76"/>
        <v>-244980865.4539476</v>
      </c>
      <c r="AQ110" s="173">
        <f t="shared" si="76"/>
        <v>24719599.411719467</v>
      </c>
      <c r="AR110" s="173">
        <f t="shared" si="76"/>
        <v>488404.91943644884</v>
      </c>
      <c r="AS110" s="1292">
        <f t="shared" ref="AS110" si="79">AS121</f>
        <v>0</v>
      </c>
      <c r="AT110" s="173"/>
      <c r="AU110" s="173"/>
      <c r="AV110" s="173"/>
      <c r="AW110" s="420"/>
      <c r="AX110" s="420"/>
      <c r="AY110" s="173"/>
      <c r="AZ110" s="173"/>
      <c r="BB110" s="476">
        <f>BB121</f>
        <v>-108023658.60120685</v>
      </c>
      <c r="BC110" s="476">
        <f>BC121</f>
        <v>2802449377.1695061</v>
      </c>
      <c r="BD110" s="444"/>
      <c r="BE110" s="173"/>
      <c r="BF110" s="336"/>
    </row>
    <row r="111" spans="2:58" outlineLevel="1" x14ac:dyDescent="0.35">
      <c r="C111" s="509">
        <v>45291</v>
      </c>
      <c r="D111" s="466"/>
      <c r="E111" s="1279"/>
      <c r="AE111" s="341"/>
      <c r="AM111" s="487"/>
      <c r="AS111" s="1279"/>
      <c r="AW111" s="341"/>
      <c r="AX111" s="341"/>
      <c r="BB111" s="466"/>
      <c r="BC111" s="466"/>
      <c r="BD111" s="444"/>
      <c r="BE111" s="173"/>
      <c r="BF111" s="336"/>
    </row>
    <row r="112" spans="2:58" outlineLevel="1" x14ac:dyDescent="0.35">
      <c r="B112" s="464" t="s">
        <v>125</v>
      </c>
      <c r="C112" s="509">
        <v>45291</v>
      </c>
      <c r="D112" s="488">
        <f>+D108/D110</f>
        <v>7.3371616191123187E-2</v>
      </c>
      <c r="E112" s="1290"/>
      <c r="F112" s="472"/>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1"/>
      <c r="AF112" s="472"/>
      <c r="AG112" s="472"/>
      <c r="AH112" s="472"/>
      <c r="AI112" s="472"/>
      <c r="AJ112" s="472"/>
      <c r="AK112" s="472"/>
      <c r="AL112" s="472"/>
      <c r="AM112" s="489"/>
      <c r="AN112" s="472"/>
      <c r="AO112" s="472"/>
      <c r="AP112" s="472"/>
      <c r="AQ112" s="472"/>
      <c r="AR112" s="472"/>
      <c r="AS112" s="1290"/>
      <c r="AT112" s="472"/>
      <c r="AU112" s="472"/>
      <c r="AV112" s="472"/>
      <c r="AW112" s="471"/>
      <c r="AX112" s="471"/>
      <c r="AY112" s="472"/>
      <c r="AZ112" s="472"/>
      <c r="BB112" s="470"/>
      <c r="BC112" s="488">
        <f>+BC108/BC110</f>
        <v>4.8074360706690841E-2</v>
      </c>
      <c r="BD112" s="444"/>
      <c r="BE112" s="173"/>
      <c r="BF112" s="336"/>
    </row>
    <row r="113" spans="2:58" outlineLevel="1" x14ac:dyDescent="0.35">
      <c r="C113" s="509">
        <v>45291</v>
      </c>
      <c r="D113" s="470"/>
      <c r="E113" s="1290"/>
      <c r="F113" s="472"/>
      <c r="G113" s="472"/>
      <c r="H113" s="472"/>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1"/>
      <c r="AF113" s="472"/>
      <c r="AG113" s="472"/>
      <c r="AH113" s="472"/>
      <c r="AI113" s="472"/>
      <c r="AJ113" s="472"/>
      <c r="AK113" s="472"/>
      <c r="AL113" s="472"/>
      <c r="AM113" s="472"/>
      <c r="AN113" s="472"/>
      <c r="AO113" s="472"/>
      <c r="AP113" s="472"/>
      <c r="AQ113" s="472"/>
      <c r="AR113" s="472"/>
      <c r="AS113" s="1290"/>
      <c r="AT113" s="472"/>
      <c r="AU113" s="472"/>
      <c r="AV113" s="472"/>
      <c r="AW113" s="471"/>
      <c r="AX113" s="471"/>
      <c r="AY113" s="472"/>
      <c r="AZ113" s="472"/>
      <c r="BB113" s="470"/>
      <c r="BC113" s="470"/>
      <c r="BD113" s="444"/>
      <c r="BE113" s="173"/>
      <c r="BF113" s="336"/>
    </row>
    <row r="114" spans="2:58" outlineLevel="1" x14ac:dyDescent="0.35">
      <c r="B114" s="329" t="s">
        <v>126</v>
      </c>
      <c r="C114" s="509">
        <v>45291</v>
      </c>
      <c r="D114" s="470"/>
      <c r="E114" s="1290"/>
      <c r="F114" s="472"/>
      <c r="G114" s="472"/>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1290"/>
      <c r="AT114" s="472"/>
      <c r="AU114" s="472"/>
      <c r="AV114" s="472"/>
      <c r="AW114" s="471"/>
      <c r="AX114" s="471"/>
      <c r="AY114" s="472"/>
      <c r="AZ114" s="472"/>
      <c r="BB114" s="470"/>
      <c r="BC114" s="470"/>
      <c r="BD114" s="444"/>
      <c r="BE114" s="173"/>
      <c r="BF114" s="336"/>
    </row>
    <row r="115" spans="2:58" outlineLevel="1" x14ac:dyDescent="0.35">
      <c r="B115" s="490" t="s">
        <v>20</v>
      </c>
      <c r="C115" s="509">
        <v>45291</v>
      </c>
      <c r="D115" s="476">
        <f t="shared" ref="D115:D120" si="80">+BC54</f>
        <v>5474387919.4468212</v>
      </c>
      <c r="E115" s="1292"/>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f>'Common Adj'!OM18</f>
        <v>-40083865.243799999</v>
      </c>
      <c r="AB115" s="173">
        <f>+'Common Adj'!PE21</f>
        <v>75215094.712953344</v>
      </c>
      <c r="AC115" s="173"/>
      <c r="AD115" s="173">
        <f>'Common Adj'!QP17</f>
        <v>-4692533.0386116672</v>
      </c>
      <c r="AE115" s="173"/>
      <c r="AF115" s="173"/>
      <c r="AG115" s="173">
        <f>'Common Adj'!$SR$28</f>
        <v>64907450.781774998</v>
      </c>
      <c r="AH115" s="173">
        <f>'Common Adj'!$SR$46</f>
        <v>53642765.109999999</v>
      </c>
      <c r="AI115" s="173">
        <f>'Common Adj'!$SR$64</f>
        <v>58932.5</v>
      </c>
      <c r="AJ115" s="173">
        <f>'Common Adj'!$SR$82</f>
        <v>47957544.839049995</v>
      </c>
      <c r="AK115" s="472"/>
      <c r="AL115" s="472"/>
      <c r="AM115" s="173"/>
      <c r="AN115" s="472">
        <f>'Common Adj'!VP20</f>
        <v>0</v>
      </c>
      <c r="AO115" s="472"/>
      <c r="AP115" s="173">
        <f>'Gas Adj'!BI19</f>
        <v>-243110912.17458329</v>
      </c>
      <c r="AQ115" s="173"/>
      <c r="AR115" s="173">
        <f>'Gas Adj'!CS18</f>
        <v>0</v>
      </c>
      <c r="AS115" s="1292">
        <f>'Gas Adj'!DB18</f>
        <v>0</v>
      </c>
      <c r="AT115" s="173"/>
      <c r="AU115" s="173"/>
      <c r="AV115" s="173"/>
      <c r="AW115" s="420"/>
      <c r="AX115" s="420"/>
      <c r="AY115" s="173"/>
      <c r="AZ115" s="173"/>
      <c r="BB115" s="476">
        <f t="shared" ref="BB115:BB120" si="81">SUM(E115:AZ115)</f>
        <v>-46105522.513216615</v>
      </c>
      <c r="BC115" s="476">
        <f t="shared" ref="BC115:BC120" si="82">+BB115+BC54</f>
        <v>5428282396.9336042</v>
      </c>
      <c r="BD115" s="444"/>
      <c r="BE115" s="173"/>
      <c r="BF115" s="336"/>
    </row>
    <row r="116" spans="2:58" outlineLevel="1" x14ac:dyDescent="0.35">
      <c r="B116" s="490" t="s">
        <v>21</v>
      </c>
      <c r="C116" s="509">
        <v>45291</v>
      </c>
      <c r="D116" s="470">
        <f t="shared" si="80"/>
        <v>-2114157216.2528422</v>
      </c>
      <c r="E116" s="1290"/>
      <c r="F116" s="472"/>
      <c r="G116" s="472"/>
      <c r="H116" s="472"/>
      <c r="I116" s="472"/>
      <c r="J116" s="472"/>
      <c r="K116" s="472"/>
      <c r="L116" s="472"/>
      <c r="M116" s="472"/>
      <c r="N116" s="472"/>
      <c r="O116" s="472"/>
      <c r="P116" s="472"/>
      <c r="Q116" s="472"/>
      <c r="R116" s="472"/>
      <c r="S116" s="472"/>
      <c r="T116" s="472"/>
      <c r="U116" s="472"/>
      <c r="V116" s="472"/>
      <c r="W116" s="472"/>
      <c r="X116" s="472"/>
      <c r="Y116" s="472"/>
      <c r="Z116" s="472"/>
      <c r="AA116" s="472">
        <f>'Common Adj'!OM19</f>
        <v>2672926.9994000001</v>
      </c>
      <c r="AB116" s="472">
        <f>+'Common Adj'!PE27</f>
        <v>-9233476.6029253639</v>
      </c>
      <c r="AC116" s="472"/>
      <c r="AD116" s="472">
        <f>'Common Adj'!QP18</f>
        <v>4692533.0386116672</v>
      </c>
      <c r="AE116" s="472">
        <f>'Common Adj'!RH34</f>
        <v>-87066192.781679153</v>
      </c>
      <c r="AF116" s="472">
        <f>'Common Adj'!RZ33</f>
        <v>42632.08</v>
      </c>
      <c r="AG116" s="472">
        <f>'Common Adj'!$SR$29</f>
        <v>-611271.05680999998</v>
      </c>
      <c r="AH116" s="472">
        <f>'Common Adj'!$SR$47</f>
        <v>-403751.7</v>
      </c>
      <c r="AI116" s="472">
        <f>'Common Adj'!$SR$65</f>
        <v>-617.78</v>
      </c>
      <c r="AJ116" s="472">
        <f>'Common Adj'!$SR$83</f>
        <v>-380510.80976999988</v>
      </c>
      <c r="AK116" s="472"/>
      <c r="AL116" s="472"/>
      <c r="AM116" s="481"/>
      <c r="AN116" s="472">
        <f>'Common Adj'!VP21</f>
        <v>0</v>
      </c>
      <c r="AO116" s="472"/>
      <c r="AP116" s="472">
        <f>'Gas Adj'!BI20</f>
        <v>8669863.8600160964</v>
      </c>
      <c r="AQ116" s="472"/>
      <c r="AR116" s="173">
        <f>'Gas Adj'!CS19+'Gas Adj'!CS20</f>
        <v>418278.48458200146</v>
      </c>
      <c r="AS116" s="1292">
        <f>'Gas Adj'!DB19+'Gas Adj'!DB20</f>
        <v>0</v>
      </c>
      <c r="AT116" s="481"/>
      <c r="AU116" s="472"/>
      <c r="AV116" s="472"/>
      <c r="AW116" s="471"/>
      <c r="AX116" s="471"/>
      <c r="AY116" s="472"/>
      <c r="AZ116" s="472"/>
      <c r="BB116" s="470">
        <f t="shared" si="81"/>
        <v>-81199586.268574759</v>
      </c>
      <c r="BC116" s="470">
        <f t="shared" si="82"/>
        <v>-2195356802.5214171</v>
      </c>
      <c r="BD116" s="444"/>
      <c r="BE116" s="173"/>
      <c r="BF116" s="336"/>
    </row>
    <row r="117" spans="2:58" outlineLevel="1" x14ac:dyDescent="0.35">
      <c r="B117" s="329" t="s">
        <v>127</v>
      </c>
      <c r="C117" s="509">
        <v>45291</v>
      </c>
      <c r="D117" s="470">
        <f t="shared" si="80"/>
        <v>16664014.890000001</v>
      </c>
      <c r="E117" s="1290"/>
      <c r="F117" s="472"/>
      <c r="G117" s="472"/>
      <c r="H117" s="472"/>
      <c r="I117" s="472"/>
      <c r="J117" s="472"/>
      <c r="K117" s="472"/>
      <c r="L117" s="472"/>
      <c r="M117" s="472"/>
      <c r="N117" s="472"/>
      <c r="O117" s="472"/>
      <c r="P117" s="472"/>
      <c r="Q117" s="472"/>
      <c r="R117" s="472"/>
      <c r="S117" s="472"/>
      <c r="T117" s="472"/>
      <c r="U117" s="472"/>
      <c r="V117" s="472"/>
      <c r="W117" s="472"/>
      <c r="X117" s="472"/>
      <c r="Y117" s="472"/>
      <c r="Z117" s="472"/>
      <c r="AA117" s="472"/>
      <c r="AB117" s="472">
        <f>+'Common Adj'!PE33</f>
        <v>-8147230.8337291926</v>
      </c>
      <c r="AC117" s="472"/>
      <c r="AD117" s="472"/>
      <c r="AE117" s="472"/>
      <c r="AF117" s="472">
        <f>'Common Adj'!RZ34</f>
        <v>0</v>
      </c>
      <c r="AG117" s="472"/>
      <c r="AH117" s="472"/>
      <c r="AI117" s="472"/>
      <c r="AJ117" s="472"/>
      <c r="AK117" s="472"/>
      <c r="AL117" s="472">
        <f>'Common Adj'!UW17</f>
        <v>0</v>
      </c>
      <c r="AM117" s="481"/>
      <c r="AN117" s="472"/>
      <c r="AO117" s="472"/>
      <c r="AP117" s="472">
        <v>-12530977.195512716</v>
      </c>
      <c r="AQ117" s="472">
        <f>'Gas Adj'!CA25</f>
        <v>31505890.107479818</v>
      </c>
      <c r="AR117" s="173"/>
      <c r="AS117" s="1292"/>
      <c r="AT117" s="481"/>
      <c r="AU117" s="472"/>
      <c r="AV117" s="472"/>
      <c r="AW117" s="471"/>
      <c r="AX117" s="471"/>
      <c r="AY117" s="472"/>
      <c r="AZ117" s="472"/>
      <c r="BB117" s="470">
        <f t="shared" si="81"/>
        <v>10827682.07823791</v>
      </c>
      <c r="BC117" s="470">
        <f t="shared" si="82"/>
        <v>27491696.96823791</v>
      </c>
      <c r="BD117" s="444"/>
      <c r="BE117" s="173"/>
      <c r="BF117" s="336"/>
    </row>
    <row r="118" spans="2:58" outlineLevel="1" x14ac:dyDescent="0.35">
      <c r="B118" s="329" t="s">
        <v>128</v>
      </c>
      <c r="C118" s="509">
        <v>45291</v>
      </c>
      <c r="D118" s="470">
        <f t="shared" si="80"/>
        <v>-584249152.02586055</v>
      </c>
      <c r="E118" s="1290"/>
      <c r="F118" s="472"/>
      <c r="G118" s="472"/>
      <c r="H118" s="472">
        <f>+'Common Adj'!BI24</f>
        <v>0</v>
      </c>
      <c r="I118" s="472"/>
      <c r="J118" s="472"/>
      <c r="K118" s="472"/>
      <c r="L118" s="472"/>
      <c r="M118" s="472"/>
      <c r="N118" s="472"/>
      <c r="O118" s="472"/>
      <c r="P118" s="472"/>
      <c r="Q118" s="472"/>
      <c r="R118" s="472"/>
      <c r="S118" s="472"/>
      <c r="T118" s="472"/>
      <c r="U118" s="472"/>
      <c r="V118" s="472"/>
      <c r="W118" s="472"/>
      <c r="X118" s="472"/>
      <c r="Y118" s="472"/>
      <c r="Z118" s="472"/>
      <c r="AA118" s="472">
        <f>'Common Adj'!OM20</f>
        <v>9391457.368920818</v>
      </c>
      <c r="AB118" s="472"/>
      <c r="AC118" s="472"/>
      <c r="AD118" s="472"/>
      <c r="AE118" s="472">
        <f>'Common Adj'!RH35</f>
        <v>5244350.714984417</v>
      </c>
      <c r="AF118" s="472"/>
      <c r="AG118" s="472">
        <f>'Common Adj'!$SR$30</f>
        <v>-499595.74821500003</v>
      </c>
      <c r="AH118" s="472">
        <f>'Common Adj'!$SR$48</f>
        <v>-339985.02999999997</v>
      </c>
      <c r="AI118" s="472">
        <f>'Common Adj'!$SR$66</f>
        <v>-334.38</v>
      </c>
      <c r="AJ118" s="472">
        <f>'Common Adj'!$SR$84</f>
        <v>-617120.61857000005</v>
      </c>
      <c r="AK118" s="472"/>
      <c r="AL118" s="472">
        <f>'Common Adj'!UW18</f>
        <v>0</v>
      </c>
      <c r="AM118" s="347"/>
      <c r="AN118" s="472">
        <f>'Common Adj'!VP22</f>
        <v>0</v>
      </c>
      <c r="AO118" s="472"/>
      <c r="AP118" s="472">
        <f>'Gas Adj'!BI21</f>
        <v>1991160.0561322786</v>
      </c>
      <c r="AQ118" s="472">
        <f>'Gas Adj'!CA26</f>
        <v>-6786290.6957603497</v>
      </c>
      <c r="AR118" s="173">
        <f>'Gas Adj'!CS21</f>
        <v>70126.434854447376</v>
      </c>
      <c r="AS118" s="1292">
        <f>'Gas Adj'!DB21</f>
        <v>0</v>
      </c>
      <c r="AT118" s="265"/>
      <c r="AU118" s="472"/>
      <c r="AV118" s="472"/>
      <c r="AW118" s="471"/>
      <c r="AX118" s="471"/>
      <c r="AY118" s="472"/>
      <c r="AZ118" s="472"/>
      <c r="BB118" s="470">
        <f t="shared" si="81"/>
        <v>8453768.1023466121</v>
      </c>
      <c r="BC118" s="470">
        <f t="shared" si="82"/>
        <v>-575795383.92351389</v>
      </c>
      <c r="BD118" s="444"/>
      <c r="BE118" s="173"/>
      <c r="BF118" s="336"/>
    </row>
    <row r="119" spans="2:58" outlineLevel="1" x14ac:dyDescent="0.35">
      <c r="B119" s="329" t="s">
        <v>129</v>
      </c>
      <c r="C119" s="509">
        <v>45291</v>
      </c>
      <c r="D119" s="491">
        <f t="shared" si="80"/>
        <v>119028167.29199991</v>
      </c>
      <c r="E119" s="1290"/>
      <c r="F119" s="472"/>
      <c r="G119" s="472"/>
      <c r="H119" s="472"/>
      <c r="I119" s="472"/>
      <c r="J119" s="472"/>
      <c r="K119" s="472"/>
      <c r="L119" s="472"/>
      <c r="M119" s="472"/>
      <c r="N119" s="472"/>
      <c r="O119" s="472"/>
      <c r="P119" s="472"/>
      <c r="Q119" s="472"/>
      <c r="R119" s="472"/>
      <c r="S119" s="472"/>
      <c r="T119" s="472"/>
      <c r="U119" s="472"/>
      <c r="V119" s="472"/>
      <c r="W119" s="472"/>
      <c r="X119" s="472"/>
      <c r="Y119" s="472"/>
      <c r="Z119" s="472"/>
      <c r="AA119" s="472"/>
      <c r="AB119" s="472"/>
      <c r="AC119" s="472"/>
      <c r="AD119" s="472"/>
      <c r="AE119" s="472"/>
      <c r="AF119" s="472"/>
      <c r="AG119" s="472"/>
      <c r="AH119" s="472"/>
      <c r="AI119" s="472"/>
      <c r="AJ119" s="472"/>
      <c r="AK119" s="472"/>
      <c r="AL119" s="472"/>
      <c r="AM119" s="481"/>
      <c r="AN119" s="472"/>
      <c r="AO119" s="472"/>
      <c r="AP119" s="173"/>
      <c r="AQ119" s="173"/>
      <c r="AR119" s="173"/>
      <c r="AS119" s="1292"/>
      <c r="AT119" s="472"/>
      <c r="AU119" s="472"/>
      <c r="AV119" s="472"/>
      <c r="AW119" s="472"/>
      <c r="AX119" s="472"/>
      <c r="AY119" s="472"/>
      <c r="AZ119" s="472"/>
      <c r="BB119" s="470">
        <f t="shared" si="81"/>
        <v>0</v>
      </c>
      <c r="BC119" s="470">
        <f t="shared" si="82"/>
        <v>119028167.29199991</v>
      </c>
      <c r="BD119" s="444"/>
      <c r="BE119" s="173"/>
      <c r="BF119" s="336"/>
    </row>
    <row r="120" spans="2:58" outlineLevel="1" x14ac:dyDescent="0.35">
      <c r="B120" s="329" t="s">
        <v>130</v>
      </c>
      <c r="C120" s="509">
        <v>45291</v>
      </c>
      <c r="D120" s="470">
        <f t="shared" si="80"/>
        <v>-1200697.579405</v>
      </c>
      <c r="E120" s="1290"/>
      <c r="F120" s="472"/>
      <c r="G120" s="472"/>
      <c r="H120" s="472"/>
      <c r="I120" s="472"/>
      <c r="J120" s="472"/>
      <c r="K120" s="472"/>
      <c r="L120" s="472"/>
      <c r="M120" s="472"/>
      <c r="N120" s="472"/>
      <c r="O120" s="472"/>
      <c r="P120" s="472"/>
      <c r="Q120" s="472"/>
      <c r="R120" s="472"/>
      <c r="S120" s="472"/>
      <c r="T120" s="472"/>
      <c r="U120" s="472"/>
      <c r="V120" s="472"/>
      <c r="W120" s="472"/>
      <c r="X120" s="472"/>
      <c r="Y120" s="472"/>
      <c r="Z120" s="472"/>
      <c r="AA120" s="472"/>
      <c r="AB120" s="472"/>
      <c r="AC120" s="472"/>
      <c r="AD120" s="472"/>
      <c r="AE120" s="472"/>
      <c r="AF120" s="472"/>
      <c r="AG120" s="472"/>
      <c r="AH120" s="472"/>
      <c r="AI120" s="472"/>
      <c r="AJ120" s="472"/>
      <c r="AK120" s="472"/>
      <c r="AL120" s="472"/>
      <c r="AM120" s="481"/>
      <c r="AN120" s="472"/>
      <c r="AO120" s="472"/>
      <c r="AP120" s="173"/>
      <c r="AQ120" s="173"/>
      <c r="AR120" s="173"/>
      <c r="AS120" s="1292"/>
      <c r="AT120" s="472"/>
      <c r="AU120" s="472"/>
      <c r="AV120" s="472"/>
      <c r="AW120" s="472"/>
      <c r="AX120" s="472"/>
      <c r="AY120" s="472"/>
      <c r="AZ120" s="472"/>
      <c r="BB120" s="470">
        <f t="shared" si="81"/>
        <v>0</v>
      </c>
      <c r="BC120" s="470">
        <f t="shared" si="82"/>
        <v>-1200697.579405</v>
      </c>
      <c r="BD120" s="444"/>
      <c r="BE120" s="173"/>
      <c r="BF120" s="336"/>
    </row>
    <row r="121" spans="2:58" ht="15" outlineLevel="1" thickBot="1" x14ac:dyDescent="0.4">
      <c r="B121" s="329" t="s">
        <v>22</v>
      </c>
      <c r="C121" s="509">
        <v>45291</v>
      </c>
      <c r="D121" s="493">
        <f>SUM(D115:D120)</f>
        <v>2910473035.7707138</v>
      </c>
      <c r="E121" s="1301">
        <f t="shared" ref="E121:AD121" si="83">SUM(E115:E120)</f>
        <v>0</v>
      </c>
      <c r="F121" s="494">
        <f t="shared" si="83"/>
        <v>0</v>
      </c>
      <c r="G121" s="494">
        <f t="shared" si="83"/>
        <v>0</v>
      </c>
      <c r="H121" s="494">
        <f t="shared" si="83"/>
        <v>0</v>
      </c>
      <c r="I121" s="494">
        <f t="shared" si="83"/>
        <v>0</v>
      </c>
      <c r="J121" s="494">
        <f t="shared" si="83"/>
        <v>0</v>
      </c>
      <c r="K121" s="494">
        <f t="shared" si="83"/>
        <v>0</v>
      </c>
      <c r="L121" s="494">
        <f t="shared" si="83"/>
        <v>0</v>
      </c>
      <c r="M121" s="494">
        <f t="shared" si="83"/>
        <v>0</v>
      </c>
      <c r="N121" s="494">
        <f t="shared" si="83"/>
        <v>0</v>
      </c>
      <c r="O121" s="494">
        <f t="shared" si="83"/>
        <v>0</v>
      </c>
      <c r="P121" s="494">
        <f t="shared" si="83"/>
        <v>0</v>
      </c>
      <c r="Q121" s="494">
        <f t="shared" si="83"/>
        <v>0</v>
      </c>
      <c r="R121" s="494">
        <f t="shared" si="83"/>
        <v>0</v>
      </c>
      <c r="S121" s="494">
        <f t="shared" si="83"/>
        <v>0</v>
      </c>
      <c r="T121" s="494">
        <f t="shared" si="83"/>
        <v>0</v>
      </c>
      <c r="U121" s="494">
        <f t="shared" si="83"/>
        <v>0</v>
      </c>
      <c r="V121" s="494">
        <f t="shared" si="83"/>
        <v>0</v>
      </c>
      <c r="W121" s="494">
        <f t="shared" si="83"/>
        <v>0</v>
      </c>
      <c r="X121" s="494">
        <f t="shared" si="83"/>
        <v>0</v>
      </c>
      <c r="Y121" s="494">
        <f t="shared" si="83"/>
        <v>0</v>
      </c>
      <c r="Z121" s="494">
        <f t="shared" si="83"/>
        <v>0</v>
      </c>
      <c r="AA121" s="494">
        <f t="shared" si="83"/>
        <v>-28019480.875479184</v>
      </c>
      <c r="AB121" s="494">
        <f t="shared" si="83"/>
        <v>57834387.276298791</v>
      </c>
      <c r="AC121" s="494">
        <f t="shared" si="83"/>
        <v>0</v>
      </c>
      <c r="AD121" s="494">
        <f t="shared" si="83"/>
        <v>0</v>
      </c>
      <c r="AE121" s="494">
        <f t="shared" ref="AE121:AR121" si="84">SUM(AE115:AE120)</f>
        <v>-81821842.066694736</v>
      </c>
      <c r="AF121" s="494">
        <f t="shared" si="84"/>
        <v>42632.08</v>
      </c>
      <c r="AG121" s="494">
        <f>SUM(AG115:AG120)</f>
        <v>63796583.976750001</v>
      </c>
      <c r="AH121" s="494">
        <f t="shared" ref="AH121:AJ121" si="85">SUM(AH115:AH120)</f>
        <v>52899028.379999995</v>
      </c>
      <c r="AI121" s="494">
        <f t="shared" si="85"/>
        <v>57980.340000000004</v>
      </c>
      <c r="AJ121" s="494">
        <f t="shared" si="85"/>
        <v>46959913.410709992</v>
      </c>
      <c r="AK121" s="494">
        <f t="shared" si="84"/>
        <v>0</v>
      </c>
      <c r="AL121" s="494">
        <f t="shared" si="84"/>
        <v>0</v>
      </c>
      <c r="AM121" s="494">
        <f t="shared" ref="AM121:AN121" si="86">SUM(AM115:AM120)</f>
        <v>0</v>
      </c>
      <c r="AN121" s="494">
        <f t="shared" si="86"/>
        <v>0</v>
      </c>
      <c r="AO121" s="494">
        <f t="shared" ref="AO121" si="87">SUM(AO115:AO120)</f>
        <v>0</v>
      </c>
      <c r="AP121" s="494">
        <f t="shared" si="84"/>
        <v>-244980865.4539476</v>
      </c>
      <c r="AQ121" s="494">
        <f t="shared" si="84"/>
        <v>24719599.411719467</v>
      </c>
      <c r="AR121" s="494">
        <f t="shared" si="84"/>
        <v>488404.91943644884</v>
      </c>
      <c r="AS121" s="1301">
        <f t="shared" ref="AS121" si="88">SUM(AS115:AS120)</f>
        <v>0</v>
      </c>
      <c r="AT121" s="494"/>
      <c r="AU121" s="494"/>
      <c r="AV121" s="494"/>
      <c r="AW121" s="494"/>
      <c r="AX121" s="494"/>
      <c r="AY121" s="494"/>
      <c r="AZ121" s="494"/>
      <c r="BB121" s="493">
        <f>SUM(BB115:BB120)</f>
        <v>-108023658.60120685</v>
      </c>
      <c r="BC121" s="493">
        <f>SUM(BC115:BC120)</f>
        <v>2802449377.1695061</v>
      </c>
      <c r="BD121" s="444"/>
      <c r="BE121" s="173"/>
      <c r="BF121" s="336"/>
    </row>
    <row r="122" spans="2:58" ht="15" outlineLevel="1" thickTop="1" x14ac:dyDescent="0.35">
      <c r="C122" s="509">
        <v>45291</v>
      </c>
      <c r="D122" s="466"/>
      <c r="E122" s="1279"/>
      <c r="AS122" s="1279"/>
      <c r="BB122" s="466"/>
      <c r="BC122" s="466"/>
      <c r="BD122" s="444"/>
      <c r="BE122" s="173"/>
      <c r="BF122" s="336"/>
    </row>
    <row r="123" spans="2:58" outlineLevel="1" x14ac:dyDescent="0.35">
      <c r="B123" s="329" t="s">
        <v>29</v>
      </c>
      <c r="C123" s="509">
        <v>45291</v>
      </c>
      <c r="D123" s="496">
        <f>+'Def, COC, ConvF DPK-7 '!C13</f>
        <v>7.3575000000000002E-2</v>
      </c>
      <c r="E123" s="1302">
        <f>+'Def, COC, ConvF DPK-7 '!C13</f>
        <v>7.3575000000000002E-2</v>
      </c>
      <c r="F123" s="497">
        <f>+'Def, COC, ConvF DPK-7 '!C13</f>
        <v>7.3575000000000002E-2</v>
      </c>
      <c r="G123" s="497">
        <f>+'Def, COC, ConvF DPK-7 '!C13</f>
        <v>7.3575000000000002E-2</v>
      </c>
      <c r="H123" s="497">
        <f>+'Def, COC, ConvF DPK-7 '!C13</f>
        <v>7.3575000000000002E-2</v>
      </c>
      <c r="I123" s="497">
        <f>+'Def, COC, ConvF DPK-7 '!C13</f>
        <v>7.3575000000000002E-2</v>
      </c>
      <c r="J123" s="497">
        <f>+'Def, COC, ConvF DPK-7 '!C13</f>
        <v>7.3575000000000002E-2</v>
      </c>
      <c r="K123" s="497">
        <f>+'Def, COC, ConvF DPK-7 '!C13</f>
        <v>7.3575000000000002E-2</v>
      </c>
      <c r="L123" s="497">
        <f>+'Def, COC, ConvF DPK-7 '!C13</f>
        <v>7.3575000000000002E-2</v>
      </c>
      <c r="M123" s="497">
        <f>+'Def, COC, ConvF DPK-7 '!C13</f>
        <v>7.3575000000000002E-2</v>
      </c>
      <c r="N123" s="497">
        <f>+'Def, COC, ConvF DPK-7 '!C13</f>
        <v>7.3575000000000002E-2</v>
      </c>
      <c r="O123" s="497">
        <f>+'Def, COC, ConvF DPK-7 '!C13</f>
        <v>7.3575000000000002E-2</v>
      </c>
      <c r="P123" s="497">
        <f>+'Def, COC, ConvF DPK-7 '!C13</f>
        <v>7.3575000000000002E-2</v>
      </c>
      <c r="Q123" s="497">
        <f>+'Def, COC, ConvF DPK-7 '!C13</f>
        <v>7.3575000000000002E-2</v>
      </c>
      <c r="R123" s="497">
        <f>+'Def, COC, ConvF DPK-7 '!C13</f>
        <v>7.3575000000000002E-2</v>
      </c>
      <c r="S123" s="497">
        <f>+'Def, COC, ConvF DPK-7 '!C13</f>
        <v>7.3575000000000002E-2</v>
      </c>
      <c r="T123" s="497">
        <f>+'Def, COC, ConvF DPK-7 '!C13</f>
        <v>7.3575000000000002E-2</v>
      </c>
      <c r="U123" s="497">
        <f>+'Def, COC, ConvF DPK-7 '!C13</f>
        <v>7.3575000000000002E-2</v>
      </c>
      <c r="V123" s="497">
        <f>+'Def, COC, ConvF DPK-7 '!C13</f>
        <v>7.3575000000000002E-2</v>
      </c>
      <c r="W123" s="497">
        <f>+'Def, COC, ConvF DPK-7 '!C13</f>
        <v>7.3575000000000002E-2</v>
      </c>
      <c r="X123" s="497">
        <f>+'Def, COC, ConvF DPK-7 '!C13</f>
        <v>7.3575000000000002E-2</v>
      </c>
      <c r="Y123" s="497">
        <f>+'Def, COC, ConvF DPK-7 '!C13</f>
        <v>7.3575000000000002E-2</v>
      </c>
      <c r="Z123" s="497">
        <f>+'Def, COC, ConvF DPK-7 '!C13</f>
        <v>7.3575000000000002E-2</v>
      </c>
      <c r="AA123" s="497">
        <f>+'Def, COC, ConvF DPK-7 '!C13</f>
        <v>7.3575000000000002E-2</v>
      </c>
      <c r="AB123" s="497">
        <f>+'Def, COC, ConvF DPK-7 '!C13</f>
        <v>7.3575000000000002E-2</v>
      </c>
      <c r="AC123" s="497">
        <f>+'Def, COC, ConvF DPK-7 '!C13</f>
        <v>7.3575000000000002E-2</v>
      </c>
      <c r="AD123" s="497">
        <f>+'Def, COC, ConvF DPK-7 '!C13</f>
        <v>7.3575000000000002E-2</v>
      </c>
      <c r="AE123" s="497">
        <f>+'Def, COC, ConvF DPK-7 '!C13</f>
        <v>7.3575000000000002E-2</v>
      </c>
      <c r="AF123" s="497">
        <f>+'Def, COC, ConvF DPK-7 '!C13</f>
        <v>7.3575000000000002E-2</v>
      </c>
      <c r="AG123" s="497">
        <f>+'Def, COC, ConvF DPK-7 '!C13</f>
        <v>7.3575000000000002E-2</v>
      </c>
      <c r="AH123" s="497">
        <f>+'Def, COC, ConvF DPK-7 '!C13</f>
        <v>7.3575000000000002E-2</v>
      </c>
      <c r="AI123" s="497">
        <f>+'Def, COC, ConvF DPK-7 '!C13</f>
        <v>7.3575000000000002E-2</v>
      </c>
      <c r="AJ123" s="497">
        <f>+'Def, COC, ConvF DPK-7 '!C13</f>
        <v>7.3575000000000002E-2</v>
      </c>
      <c r="AK123" s="497">
        <f>+'Def, COC, ConvF DPK-7 '!C13</f>
        <v>7.3575000000000002E-2</v>
      </c>
      <c r="AL123" s="497">
        <f>+'Def, COC, ConvF DPK-7 '!C13</f>
        <v>7.3575000000000002E-2</v>
      </c>
      <c r="AM123" s="497">
        <f>+'Def, COC, ConvF DPK-7 '!$C$13</f>
        <v>7.3575000000000002E-2</v>
      </c>
      <c r="AN123" s="497">
        <f>+'Def, COC, ConvF DPK-7 '!$C$13</f>
        <v>7.3575000000000002E-2</v>
      </c>
      <c r="AO123" s="497">
        <f>+'Def, COC, ConvF DPK-7 '!$C$13</f>
        <v>7.3575000000000002E-2</v>
      </c>
      <c r="AP123" s="497">
        <f>+'Def, COC, ConvF DPK-7 '!C13</f>
        <v>7.3575000000000002E-2</v>
      </c>
      <c r="AQ123" s="497">
        <f>+'Def, COC, ConvF DPK-7 '!C13</f>
        <v>7.3575000000000002E-2</v>
      </c>
      <c r="AR123" s="497">
        <f>+'Def, COC, ConvF DPK-7 '!C13</f>
        <v>7.3575000000000002E-2</v>
      </c>
      <c r="AS123" s="1302">
        <f>+AR123</f>
        <v>7.3575000000000002E-2</v>
      </c>
      <c r="AT123" s="497"/>
      <c r="AU123" s="497"/>
      <c r="AV123" s="497"/>
      <c r="AW123" s="497"/>
      <c r="AX123" s="497"/>
      <c r="AY123" s="497"/>
      <c r="AZ123" s="497"/>
      <c r="BB123" s="496">
        <f>+'Def, COC, ConvF DPK-7 '!C13</f>
        <v>7.3575000000000002E-2</v>
      </c>
      <c r="BC123" s="496">
        <f>+'Def, COC, ConvF DPK-7 '!C13</f>
        <v>7.3575000000000002E-2</v>
      </c>
      <c r="BD123" s="444"/>
      <c r="BE123" s="173"/>
      <c r="BF123" s="336"/>
    </row>
    <row r="124" spans="2:58" outlineLevel="1" x14ac:dyDescent="0.35">
      <c r="B124" s="329" t="s">
        <v>23</v>
      </c>
      <c r="C124" s="509">
        <v>45291</v>
      </c>
      <c r="D124" s="466">
        <f>+'Def, COC, ConvF DPK-7 '!P20</f>
        <v>0.75421300000000002</v>
      </c>
      <c r="E124" s="1279">
        <f>+'Def, COC, ConvF DPK-7 '!P20</f>
        <v>0.75421300000000002</v>
      </c>
      <c r="F124" s="329">
        <f>+'Def, COC, ConvF DPK-7 '!P20</f>
        <v>0.75421300000000002</v>
      </c>
      <c r="G124" s="329">
        <f>+'Def, COC, ConvF DPK-7 '!P20</f>
        <v>0.75421300000000002</v>
      </c>
      <c r="H124" s="329">
        <f>+'Def, COC, ConvF DPK-7 '!P20</f>
        <v>0.75421300000000002</v>
      </c>
      <c r="I124" s="329">
        <f>+'Def, COC, ConvF DPK-7 '!P20</f>
        <v>0.75421300000000002</v>
      </c>
      <c r="J124" s="329">
        <f>+'Def, COC, ConvF DPK-7 '!P20</f>
        <v>0.75421300000000002</v>
      </c>
      <c r="K124" s="329">
        <f>+'Def, COC, ConvF DPK-7 '!P20</f>
        <v>0.75421300000000002</v>
      </c>
      <c r="L124" s="329">
        <f>+'Def, COC, ConvF DPK-7 '!P20</f>
        <v>0.75421300000000002</v>
      </c>
      <c r="M124" s="329">
        <f>+'Def, COC, ConvF DPK-7 '!P20</f>
        <v>0.75421300000000002</v>
      </c>
      <c r="N124" s="329">
        <f>+'Def, COC, ConvF DPK-7 '!P20</f>
        <v>0.75421300000000002</v>
      </c>
      <c r="O124" s="329">
        <f>+'Def, COC, ConvF DPK-7 '!P20</f>
        <v>0.75421300000000002</v>
      </c>
      <c r="P124" s="329">
        <f>+'Def, COC, ConvF DPK-7 '!P20</f>
        <v>0.75421300000000002</v>
      </c>
      <c r="Q124" s="329">
        <f>+'Def, COC, ConvF DPK-7 '!P20</f>
        <v>0.75421300000000002</v>
      </c>
      <c r="R124" s="329">
        <f>+'Def, COC, ConvF DPK-7 '!P20</f>
        <v>0.75421300000000002</v>
      </c>
      <c r="S124" s="329">
        <f>+'Def, COC, ConvF DPK-7 '!P20</f>
        <v>0.75421300000000002</v>
      </c>
      <c r="T124" s="329">
        <f>+'Def, COC, ConvF DPK-7 '!P20</f>
        <v>0.75421300000000002</v>
      </c>
      <c r="U124" s="329">
        <f>+'Def, COC, ConvF DPK-7 '!P20</f>
        <v>0.75421300000000002</v>
      </c>
      <c r="V124" s="329">
        <f>+'Def, COC, ConvF DPK-7 '!P20</f>
        <v>0.75421300000000002</v>
      </c>
      <c r="W124" s="329">
        <f>+'Def, COC, ConvF DPK-7 '!P20</f>
        <v>0.75421300000000002</v>
      </c>
      <c r="X124" s="329">
        <f>+'Def, COC, ConvF DPK-7 '!P20</f>
        <v>0.75421300000000002</v>
      </c>
      <c r="Y124" s="329">
        <f>+'Def, COC, ConvF DPK-7 '!P20</f>
        <v>0.75421300000000002</v>
      </c>
      <c r="Z124" s="329">
        <f>+'Def, COC, ConvF DPK-7 '!P20</f>
        <v>0.75421300000000002</v>
      </c>
      <c r="AA124" s="329">
        <f>+'Def, COC, ConvF DPK-7 '!P20</f>
        <v>0.75421300000000002</v>
      </c>
      <c r="AB124" s="329">
        <f>+'Def, COC, ConvF DPK-7 '!P20</f>
        <v>0.75421300000000002</v>
      </c>
      <c r="AC124" s="329">
        <f>+'Def, COC, ConvF DPK-7 '!P20</f>
        <v>0.75421300000000002</v>
      </c>
      <c r="AD124" s="329">
        <f>+'Def, COC, ConvF DPK-7 '!P20</f>
        <v>0.75421300000000002</v>
      </c>
      <c r="AE124" s="329">
        <f>+'Def, COC, ConvF DPK-7 '!P20</f>
        <v>0.75421300000000002</v>
      </c>
      <c r="AF124" s="329">
        <f>+'Def, COC, ConvF DPK-7 '!P20</f>
        <v>0.75421300000000002</v>
      </c>
      <c r="AG124" s="329">
        <f>+'Def, COC, ConvF DPK-7 '!P20</f>
        <v>0.75421300000000002</v>
      </c>
      <c r="AH124" s="329">
        <f>+'Def, COC, ConvF DPK-7 '!P20</f>
        <v>0.75421300000000002</v>
      </c>
      <c r="AI124" s="329">
        <f>+'Def, COC, ConvF DPK-7 '!P20</f>
        <v>0.75421300000000002</v>
      </c>
      <c r="AJ124" s="329">
        <f>+'Def, COC, ConvF DPK-7 '!P20</f>
        <v>0.75421300000000002</v>
      </c>
      <c r="AK124" s="329">
        <f>+'Def, COC, ConvF DPK-7 '!P20</f>
        <v>0.75421300000000002</v>
      </c>
      <c r="AL124" s="329">
        <f>+'Def, COC, ConvF DPK-7 '!P20</f>
        <v>0.75421300000000002</v>
      </c>
      <c r="AM124" s="329">
        <f>+'Def, COC, ConvF DPK-7 '!$P$20</f>
        <v>0.75421300000000002</v>
      </c>
      <c r="AN124" s="329">
        <f>+'Def, COC, ConvF DPK-7 '!$P$20</f>
        <v>0.75421300000000002</v>
      </c>
      <c r="AO124" s="329">
        <f>+'Def, COC, ConvF DPK-7 '!$P$20</f>
        <v>0.75421300000000002</v>
      </c>
      <c r="AP124" s="329">
        <f>+'Def, COC, ConvF DPK-7 '!P20</f>
        <v>0.75421300000000002</v>
      </c>
      <c r="AQ124" s="329">
        <f>+'Def, COC, ConvF DPK-7 '!P20</f>
        <v>0.75421300000000002</v>
      </c>
      <c r="AR124" s="329">
        <f>+'Def, COC, ConvF DPK-7 '!P20</f>
        <v>0.75421300000000002</v>
      </c>
      <c r="AS124" s="1279">
        <f>+AR124</f>
        <v>0.75421300000000002</v>
      </c>
      <c r="BB124" s="466">
        <f>+'Def, COC, ConvF DPK-7 '!P20</f>
        <v>0.75421300000000002</v>
      </c>
      <c r="BC124" s="466">
        <f>+'Def, COC, ConvF DPK-7 '!P20</f>
        <v>0.75421300000000002</v>
      </c>
      <c r="BD124" s="444"/>
      <c r="BE124" s="173"/>
      <c r="BF124" s="336"/>
    </row>
    <row r="125" spans="2:58" outlineLevel="1" x14ac:dyDescent="0.35">
      <c r="B125" s="329" t="s">
        <v>186</v>
      </c>
      <c r="C125" s="509">
        <v>45291</v>
      </c>
      <c r="D125" s="470">
        <f>+D108-(D121*D123)</f>
        <v>-591943.09164831042</v>
      </c>
      <c r="E125" s="1303">
        <f t="shared" ref="E125:AD125" si="89">+E108-(E121*E123)</f>
        <v>-44024033.448781371</v>
      </c>
      <c r="F125" s="265">
        <f t="shared" si="89"/>
        <v>0</v>
      </c>
      <c r="G125" s="265">
        <f t="shared" si="89"/>
        <v>-17690711.461626638</v>
      </c>
      <c r="H125" s="265">
        <f t="shared" si="89"/>
        <v>133104.75165847223</v>
      </c>
      <c r="I125" s="265">
        <f t="shared" si="89"/>
        <v>-596614.66645446536</v>
      </c>
      <c r="J125" s="265">
        <f t="shared" si="89"/>
        <v>0</v>
      </c>
      <c r="K125" s="265">
        <f t="shared" si="89"/>
        <v>0</v>
      </c>
      <c r="L125" s="265">
        <f t="shared" si="89"/>
        <v>0</v>
      </c>
      <c r="M125" s="265">
        <f t="shared" si="89"/>
        <v>-203582.65075738163</v>
      </c>
      <c r="N125" s="265">
        <f t="shared" si="89"/>
        <v>0</v>
      </c>
      <c r="O125" s="265">
        <f t="shared" si="89"/>
        <v>-185023.04623741916</v>
      </c>
      <c r="P125" s="265">
        <f t="shared" si="89"/>
        <v>0</v>
      </c>
      <c r="Q125" s="265">
        <f t="shared" si="89"/>
        <v>0</v>
      </c>
      <c r="R125" s="265">
        <f t="shared" si="89"/>
        <v>0</v>
      </c>
      <c r="S125" s="265">
        <f t="shared" si="89"/>
        <v>0</v>
      </c>
      <c r="T125" s="265">
        <f t="shared" si="89"/>
        <v>0</v>
      </c>
      <c r="U125" s="265">
        <f t="shared" si="89"/>
        <v>0</v>
      </c>
      <c r="V125" s="265">
        <f t="shared" si="89"/>
        <v>0</v>
      </c>
      <c r="W125" s="265">
        <f t="shared" si="89"/>
        <v>0</v>
      </c>
      <c r="X125" s="265">
        <f t="shared" si="89"/>
        <v>0</v>
      </c>
      <c r="Y125" s="265">
        <f t="shared" si="89"/>
        <v>0</v>
      </c>
      <c r="Z125" s="265">
        <f t="shared" si="89"/>
        <v>0</v>
      </c>
      <c r="AA125" s="265">
        <f t="shared" si="89"/>
        <v>4357365.135013381</v>
      </c>
      <c r="AB125" s="265">
        <f t="shared" si="89"/>
        <v>-4255165.0438536834</v>
      </c>
      <c r="AC125" s="265">
        <f t="shared" si="89"/>
        <v>8365.7662636469395</v>
      </c>
      <c r="AD125" s="265">
        <f t="shared" si="89"/>
        <v>0</v>
      </c>
      <c r="AE125" s="265">
        <f t="shared" ref="AE125:AR125" si="90">+AE108-(AE121*AE123)</f>
        <v>5721621.0510559855</v>
      </c>
      <c r="AF125" s="265">
        <f t="shared" si="90"/>
        <v>30542.687914000002</v>
      </c>
      <c r="AG125" s="265">
        <f>+AG108-(AG121*AG123)</f>
        <v>-5176737.8009692812</v>
      </c>
      <c r="AH125" s="265">
        <f t="shared" ref="AH125:AJ125" si="91">+AH108-(AH121*AH123)</f>
        <v>-4211009.8560584998</v>
      </c>
      <c r="AI125" s="265">
        <f t="shared" si="91"/>
        <v>-4753.9497154999999</v>
      </c>
      <c r="AJ125" s="265">
        <f t="shared" si="91"/>
        <v>-3755679.168911288</v>
      </c>
      <c r="AK125" s="265">
        <f t="shared" ref="AK125:AP125" si="92">+AK108-(AK121*AK123)</f>
        <v>0</v>
      </c>
      <c r="AL125" s="265">
        <f t="shared" ref="AL125:AM125" si="93">+AL108-(AL121*AL123)</f>
        <v>0</v>
      </c>
      <c r="AM125" s="265">
        <f t="shared" si="93"/>
        <v>0</v>
      </c>
      <c r="AN125" s="265">
        <f t="shared" ref="AN125:AO125" si="94">+AN108-(AN121*AN123)</f>
        <v>0</v>
      </c>
      <c r="AO125" s="265">
        <f t="shared" si="94"/>
        <v>0</v>
      </c>
      <c r="AP125" s="265">
        <f t="shared" si="92"/>
        <v>2879033.7135571949</v>
      </c>
      <c r="AQ125" s="265">
        <f t="shared" si="90"/>
        <v>-4193535.2362797158</v>
      </c>
      <c r="AR125" s="265">
        <f t="shared" si="90"/>
        <v>294505.61087224446</v>
      </c>
      <c r="AS125" s="1303">
        <f t="shared" ref="AS125" si="95">+AS108-(AS121*AS123)</f>
        <v>0</v>
      </c>
      <c r="AT125" s="265"/>
      <c r="AU125" s="265"/>
      <c r="AV125" s="265"/>
      <c r="AW125" s="265"/>
      <c r="AX125" s="265"/>
      <c r="AY125" s="265"/>
      <c r="AZ125" s="265"/>
      <c r="BB125" s="470">
        <f>SUM(E125:AZ125)</f>
        <v>-70872307.613310322</v>
      </c>
      <c r="BC125" s="470">
        <f>+BC108-(BC121*BC123)</f>
        <v>-71464250.704958498</v>
      </c>
      <c r="BD125" s="444"/>
      <c r="BE125" s="173"/>
      <c r="BF125" s="336"/>
    </row>
    <row r="126" spans="2:58" outlineLevel="1" x14ac:dyDescent="0.35">
      <c r="B126" s="329" t="s">
        <v>187</v>
      </c>
      <c r="C126" s="509">
        <v>45291</v>
      </c>
      <c r="D126" s="470">
        <f>-D125/D124</f>
        <v>784848.69877383497</v>
      </c>
      <c r="E126" s="1303">
        <f t="shared" ref="E126:AD126" si="96">-E125/E124</f>
        <v>58370822.895894624</v>
      </c>
      <c r="F126" s="265">
        <f t="shared" si="96"/>
        <v>0</v>
      </c>
      <c r="G126" s="265">
        <f t="shared" si="96"/>
        <v>23455855.920842834</v>
      </c>
      <c r="H126" s="265">
        <f t="shared" si="96"/>
        <v>-176481.64597861908</v>
      </c>
      <c r="I126" s="265">
        <f t="shared" si="96"/>
        <v>791042.67157217569</v>
      </c>
      <c r="J126" s="265">
        <f t="shared" si="96"/>
        <v>0</v>
      </c>
      <c r="K126" s="265">
        <f t="shared" si="96"/>
        <v>0</v>
      </c>
      <c r="L126" s="265">
        <f t="shared" si="96"/>
        <v>0</v>
      </c>
      <c r="M126" s="265">
        <f t="shared" si="96"/>
        <v>269927.26293153479</v>
      </c>
      <c r="N126" s="265">
        <f t="shared" si="96"/>
        <v>0</v>
      </c>
      <c r="O126" s="265">
        <f t="shared" si="96"/>
        <v>245319.35439646247</v>
      </c>
      <c r="P126" s="265">
        <f t="shared" si="96"/>
        <v>0</v>
      </c>
      <c r="Q126" s="265">
        <f t="shared" si="96"/>
        <v>0</v>
      </c>
      <c r="R126" s="265">
        <f t="shared" si="96"/>
        <v>0</v>
      </c>
      <c r="S126" s="265">
        <f t="shared" si="96"/>
        <v>0</v>
      </c>
      <c r="T126" s="265">
        <f t="shared" si="96"/>
        <v>0</v>
      </c>
      <c r="U126" s="265">
        <f t="shared" si="96"/>
        <v>0</v>
      </c>
      <c r="V126" s="265">
        <f t="shared" si="96"/>
        <v>0</v>
      </c>
      <c r="W126" s="265">
        <f t="shared" si="96"/>
        <v>0</v>
      </c>
      <c r="X126" s="265">
        <f t="shared" si="96"/>
        <v>0</v>
      </c>
      <c r="Y126" s="265">
        <f t="shared" si="96"/>
        <v>0</v>
      </c>
      <c r="Z126" s="265">
        <f t="shared" si="96"/>
        <v>0</v>
      </c>
      <c r="AA126" s="265">
        <f t="shared" si="96"/>
        <v>-5777366.7849975815</v>
      </c>
      <c r="AB126" s="265">
        <f t="shared" si="96"/>
        <v>5641861.1769535709</v>
      </c>
      <c r="AC126" s="265">
        <f t="shared" si="96"/>
        <v>-11092.047291212084</v>
      </c>
      <c r="AD126" s="265">
        <f t="shared" si="96"/>
        <v>0</v>
      </c>
      <c r="AE126" s="265">
        <f t="shared" ref="AE126:AQ126" si="97">-AE125/AE124</f>
        <v>-7586213.776553819</v>
      </c>
      <c r="AF126" s="265">
        <f t="shared" si="97"/>
        <v>-40496.10377174618</v>
      </c>
      <c r="AG126" s="265">
        <f>-AG125/AG124</f>
        <v>6863761.034308983</v>
      </c>
      <c r="AH126" s="265">
        <f t="shared" ref="AH126:AJ126" si="98">-AH125/AH124</f>
        <v>5583316.4584255368</v>
      </c>
      <c r="AI126" s="265">
        <f t="shared" si="98"/>
        <v>6303.1924874007736</v>
      </c>
      <c r="AJ126" s="265">
        <f t="shared" si="98"/>
        <v>4979600.1512984894</v>
      </c>
      <c r="AK126" s="265">
        <f t="shared" ref="AK126:AP126" si="99">-AK125/AK124</f>
        <v>0</v>
      </c>
      <c r="AL126" s="265">
        <f>-AL125/AL124</f>
        <v>0</v>
      </c>
      <c r="AM126" s="265">
        <f>-AM125/AM124</f>
        <v>0</v>
      </c>
      <c r="AN126" s="265">
        <f t="shared" ref="AN126:AO126" si="100">-AN125/AN124</f>
        <v>0</v>
      </c>
      <c r="AO126" s="265">
        <f t="shared" si="100"/>
        <v>0</v>
      </c>
      <c r="AP126" s="265">
        <f t="shared" si="99"/>
        <v>-3817268.7471008785</v>
      </c>
      <c r="AQ126" s="265">
        <f t="shared" si="97"/>
        <v>5560147.1153105497</v>
      </c>
      <c r="AR126" s="265">
        <f>-AR125/AR124</f>
        <v>-390480.6876469173</v>
      </c>
      <c r="AS126" s="1303">
        <f>-AS125/AS124</f>
        <v>0</v>
      </c>
      <c r="AT126" s="265"/>
      <c r="AU126" s="265"/>
      <c r="AV126" s="265"/>
      <c r="AW126" s="265"/>
      <c r="AX126" s="265"/>
      <c r="AY126" s="265"/>
      <c r="AZ126" s="265"/>
      <c r="BB126" s="470">
        <f>SUM(E126:AZ126)</f>
        <v>93968557.441081405</v>
      </c>
      <c r="BC126" s="470">
        <f>-BC125/BC124</f>
        <v>94753406.139855042</v>
      </c>
      <c r="BD126" s="444"/>
      <c r="BE126" s="173"/>
      <c r="BF126" s="336"/>
    </row>
    <row r="127" spans="2:58" outlineLevel="1" x14ac:dyDescent="0.35">
      <c r="B127" s="329" t="s">
        <v>42</v>
      </c>
      <c r="C127" s="509">
        <v>45291</v>
      </c>
      <c r="D127" s="470"/>
      <c r="E127" s="1303"/>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1303"/>
      <c r="AT127" s="265"/>
      <c r="AU127" s="265"/>
      <c r="AV127" s="265"/>
      <c r="AW127" s="265"/>
      <c r="AX127" s="265"/>
      <c r="AY127" s="265"/>
      <c r="AZ127" s="265"/>
      <c r="BB127" s="470"/>
      <c r="BC127" s="470">
        <f>'Def, COC, ConvF DPK-7 '!C36+'Def, COC, ConvF DPK-7 '!C37</f>
        <v>0</v>
      </c>
      <c r="BD127" s="444"/>
      <c r="BE127" s="173"/>
      <c r="BF127" s="336"/>
    </row>
    <row r="128" spans="2:58" outlineLevel="1" x14ac:dyDescent="0.35">
      <c r="B128" s="329" t="s">
        <v>43</v>
      </c>
      <c r="C128" s="509">
        <v>45291</v>
      </c>
      <c r="D128" s="470"/>
      <c r="E128" s="1303"/>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1303"/>
      <c r="AT128" s="265"/>
      <c r="AU128" s="265"/>
      <c r="AV128" s="265"/>
      <c r="AW128" s="265"/>
      <c r="AX128" s="265"/>
      <c r="AY128" s="265"/>
      <c r="AZ128" s="265"/>
      <c r="BB128" s="470"/>
      <c r="BC128" s="512">
        <f>SUM(BC126:BC127)</f>
        <v>94753406.139855042</v>
      </c>
      <c r="BD128" s="444"/>
      <c r="BE128" s="173"/>
      <c r="BF128" s="336"/>
    </row>
    <row r="129" spans="1:58" outlineLevel="1" x14ac:dyDescent="0.35">
      <c r="C129" s="509">
        <v>45291</v>
      </c>
      <c r="D129" s="498"/>
      <c r="E129" s="1303"/>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1303"/>
      <c r="AT129" s="265"/>
      <c r="AU129" s="265"/>
      <c r="AV129" s="265"/>
      <c r="AW129" s="265"/>
      <c r="AX129" s="265"/>
      <c r="AY129" s="265"/>
      <c r="AZ129" s="265"/>
      <c r="BB129" s="498"/>
      <c r="BC129" s="498"/>
      <c r="BD129" s="444"/>
      <c r="BE129" s="173"/>
      <c r="BF129" s="336"/>
    </row>
    <row r="130" spans="1:58" outlineLevel="1" x14ac:dyDescent="0.35">
      <c r="C130" s="509">
        <v>45291</v>
      </c>
      <c r="E130" s="1279"/>
      <c r="AS130" s="1279"/>
      <c r="BB130" s="497">
        <f>+'Def, COC, ConvF DPK-7 '!K27</f>
        <v>7.3575000000000002E-2</v>
      </c>
      <c r="BC130" s="497">
        <f>+'Def, COC, ConvF DPK-7 '!K27</f>
        <v>7.3575000000000002E-2</v>
      </c>
      <c r="BD130" s="444"/>
      <c r="BE130" s="173"/>
      <c r="BF130" s="336"/>
    </row>
    <row r="131" spans="1:58" outlineLevel="1" x14ac:dyDescent="0.35">
      <c r="B131" s="499" t="s">
        <v>939</v>
      </c>
      <c r="C131" s="509">
        <v>45291</v>
      </c>
      <c r="D131" s="500"/>
      <c r="E131" s="1304">
        <f>ROUND('Common Adj'!G$71-E108,0)+E110</f>
        <v>0</v>
      </c>
      <c r="F131" s="551">
        <f>ROUND('Common Adj'!Y$65-F108,0)+F110</f>
        <v>0</v>
      </c>
      <c r="G131" s="551">
        <f>ROUND('Common Adj'!AQ$30-G108,0)+G110</f>
        <v>0</v>
      </c>
      <c r="H131" s="551">
        <f>ROUND('Common Adj'!BI$22-H108,0)+ROUND('Common Adj'!BI$24-H110,0)</f>
        <v>0</v>
      </c>
      <c r="I131" s="551">
        <f>ROUND('Common Adj'!CA$24-I108,0)+I110</f>
        <v>0</v>
      </c>
      <c r="J131" s="551">
        <f>ROUND('Common Adj'!CS$20-J108,0)+J110</f>
        <v>0</v>
      </c>
      <c r="K131" s="551">
        <f>ROUND('Common Adj'!DK$22-K108,0)+K110</f>
        <v>0</v>
      </c>
      <c r="L131" s="551">
        <f>ROUND('Common Adj'!EC$21-L108,0)+L110</f>
        <v>0</v>
      </c>
      <c r="M131" s="551">
        <f>ROUND('Common Adj'!EU$27-M108,0)+M110</f>
        <v>0</v>
      </c>
      <c r="N131" s="551">
        <f>ROUND('Common Adj'!FM$23-N108,0)+N110</f>
        <v>0</v>
      </c>
      <c r="O131" s="551">
        <f>ROUND('Common Adj'!GE$32-O108,0)+O110</f>
        <v>0</v>
      </c>
      <c r="P131" s="551">
        <f>ROUND('Common Adj'!GW$36-P108,0)+P110</f>
        <v>0</v>
      </c>
      <c r="Q131" s="551">
        <f>ROUND('Common Adj'!HO$18-Q108,0)+Q110</f>
        <v>0</v>
      </c>
      <c r="R131" s="551">
        <f>ROUND('Common Adj'!IG$21-R108,0)+R110</f>
        <v>0</v>
      </c>
      <c r="S131" s="551">
        <f>ROUND('Common Adj'!IY$22-S108,0)+S110</f>
        <v>0</v>
      </c>
      <c r="T131" s="551">
        <f>ROUND('Common Adj'!JQ$23-T108,0)+T110</f>
        <v>0</v>
      </c>
      <c r="U131" s="551">
        <f>ROUND('Common Adj'!KI$20-U108,0)+U110</f>
        <v>0</v>
      </c>
      <c r="V131" s="551">
        <f>ROUND('Common Adj'!LA$33-V108,0)+V110</f>
        <v>0</v>
      </c>
      <c r="W131" s="551">
        <f>ROUND('Common Adj'!LS$22-W110,0)+W108</f>
        <v>0</v>
      </c>
      <c r="X131" s="551">
        <f>ROUND('Common Adj'!MK$31-X108,0)+ROUND('Common Adj'!MK$36-X110,0)</f>
        <v>0</v>
      </c>
      <c r="Y131" s="551">
        <f>ROUND('Common Adj'!NC$22-Y108,0)+Y110</f>
        <v>0</v>
      </c>
      <c r="Z131" s="551">
        <f>ROUND('Common Adj'!NU$31-Z108,0)+Z110</f>
        <v>0</v>
      </c>
      <c r="AA131" s="551">
        <f>ROUND('Common Adj'!OM$35-AA108,0)+ROUND('Common Adj'!OM$24-AA110,0)</f>
        <v>0</v>
      </c>
      <c r="AB131" s="551">
        <f>ROUND('Common Adj'!PE$53-AB108,0)+ROUND('Common Adj'!PE$35-AB110,0)</f>
        <v>0</v>
      </c>
      <c r="AC131" s="551">
        <f>ROUND('Common Adj'!PW$21-AC108,0)+AC110</f>
        <v>0</v>
      </c>
      <c r="AD131" s="551">
        <f>ROUND('Common Adj'!QP19-AD110,0)</f>
        <v>0</v>
      </c>
      <c r="AE131" s="551">
        <f>ROUND('Common Adj'!RH31-AE108,0)+ROUND('Common Adj'!RH36-AE110,0)</f>
        <v>0</v>
      </c>
      <c r="AF131" s="551">
        <f>ROUND('Common Adj'!RZ30-AF108,0)+ROUND('Common Adj'!RZ35-AF110,0)</f>
        <v>0</v>
      </c>
      <c r="AG131" s="551">
        <f>ROUND('Common Adj'!$SR$26-AG108,0)+ROUND('Common Adj'!$SR$31-AG110,0)</f>
        <v>0</v>
      </c>
      <c r="AH131" s="551">
        <f>ROUND('Common Adj'!$SR$44-AH108,0)+ROUND('Common Adj'!$SR$49-AH110,0)</f>
        <v>0</v>
      </c>
      <c r="AI131" s="551">
        <f>ROUND('Common Adj'!$SR$62-AI108,0)+ROUND('Common Adj'!$SR$67-AI110,0)</f>
        <v>0</v>
      </c>
      <c r="AJ131" s="551">
        <f>ROUND('Common Adj'!$SR$80-AJ108,0)+ROUND('Common Adj'!$SR$85-AJ110,0)</f>
        <v>0</v>
      </c>
      <c r="AK131" s="551">
        <f>ROUND('Common Adj'!UD38-AK108,0)</f>
        <v>0</v>
      </c>
      <c r="AL131" s="551">
        <f>ROUND('Common Adj'!UW$27-AL108,0)+ROUND('Common Adj'!UW$19-AL110,0)</f>
        <v>0</v>
      </c>
      <c r="AM131" s="551">
        <f>ROUND('Common Adj'!TK$25-AM108,0)</f>
        <v>0</v>
      </c>
      <c r="AN131" s="551">
        <f>ROUND('Common Adj'!VP$32-AN108,0)+ROUND(AN121-'Common Adj'!VP24,0)</f>
        <v>0</v>
      </c>
      <c r="AO131" s="551">
        <f>ROUND('Common Adj'!WE$27-AO108,0)</f>
        <v>0</v>
      </c>
      <c r="AP131" s="551">
        <f>ROUND('Gas Adj'!BI$49-AP110,0)+ROUND('Gas Adj'!BI$33-AP108,0)</f>
        <v>0</v>
      </c>
      <c r="AQ131" s="551">
        <f>ROUND('Gas Adj'!CA$47-AQ108,0)+ROUND('Gas Adj'!CA$27-AQ110,0)</f>
        <v>0</v>
      </c>
      <c r="AR131" s="551">
        <f>ROUND('Gas Adj'!CS22-AR108+'Gas Adj'!CS31-AR110,0)</f>
        <v>0</v>
      </c>
      <c r="AS131" s="1304">
        <f>ROUND('Gas Adj'!DB22-AS108+'Gas Adj'!DB31-AS110,0)</f>
        <v>0</v>
      </c>
      <c r="AT131" s="547"/>
      <c r="AU131" s="548"/>
      <c r="AV131" s="549"/>
      <c r="AW131" s="549"/>
      <c r="AX131" s="549"/>
      <c r="AY131" s="549"/>
      <c r="AZ131" s="549"/>
      <c r="BB131" s="550"/>
      <c r="BC131" s="550"/>
      <c r="BD131" s="444"/>
      <c r="BF131" s="336"/>
    </row>
    <row r="132" spans="1:58" outlineLevel="1" x14ac:dyDescent="0.35">
      <c r="B132" s="499" t="s">
        <v>953</v>
      </c>
      <c r="C132" s="509">
        <v>45291</v>
      </c>
      <c r="D132" s="551">
        <f>'Summary DPK-7 '!E47-D108</f>
        <v>0</v>
      </c>
      <c r="E132" s="1279"/>
      <c r="AS132" s="1279"/>
      <c r="BC132" s="551">
        <f>'Summary DPK-7 '!G47-BC108</f>
        <v>0</v>
      </c>
      <c r="BD132" s="444"/>
      <c r="BF132" s="336"/>
    </row>
    <row r="133" spans="1:58" outlineLevel="1" x14ac:dyDescent="0.35">
      <c r="B133" s="499" t="s">
        <v>954</v>
      </c>
      <c r="C133" s="509">
        <v>45291</v>
      </c>
      <c r="D133" s="551">
        <f>'Summary DPK-7 '!E58-D121</f>
        <v>0</v>
      </c>
      <c r="E133" s="1279"/>
      <c r="AS133" s="1279"/>
      <c r="BC133" s="551">
        <f>'Summary DPK-7 '!G58-BC121</f>
        <v>0</v>
      </c>
      <c r="BD133" s="444"/>
      <c r="BF133" s="336"/>
    </row>
    <row r="134" spans="1:58" x14ac:dyDescent="0.35">
      <c r="A134" s="456"/>
      <c r="B134" s="503"/>
      <c r="C134" s="504"/>
      <c r="D134" s="462"/>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6"/>
      <c r="AY134" s="456"/>
      <c r="AZ134" s="456"/>
      <c r="BB134" s="456"/>
      <c r="BC134" s="462"/>
      <c r="BD134" s="444"/>
      <c r="BF134" s="336"/>
    </row>
    <row r="135" spans="1:58" outlineLevel="1" x14ac:dyDescent="0.35">
      <c r="A135" s="456"/>
      <c r="B135" s="458"/>
      <c r="C135" s="459" t="s">
        <v>891</v>
      </c>
      <c r="D135" s="460"/>
      <c r="E135" s="461">
        <v>45627</v>
      </c>
      <c r="F135" s="461">
        <v>45627</v>
      </c>
      <c r="G135" s="461">
        <v>45627</v>
      </c>
      <c r="H135" s="461">
        <v>45627</v>
      </c>
      <c r="I135" s="461">
        <v>45627</v>
      </c>
      <c r="J135" s="461">
        <v>45627</v>
      </c>
      <c r="K135" s="461">
        <v>45627</v>
      </c>
      <c r="L135" s="461">
        <v>45627</v>
      </c>
      <c r="M135" s="461">
        <v>45627</v>
      </c>
      <c r="N135" s="461">
        <v>45627</v>
      </c>
      <c r="O135" s="461">
        <v>45627</v>
      </c>
      <c r="P135" s="461">
        <v>45627</v>
      </c>
      <c r="Q135" s="461">
        <v>45627</v>
      </c>
      <c r="R135" s="461">
        <v>45627</v>
      </c>
      <c r="S135" s="461">
        <v>45627</v>
      </c>
      <c r="T135" s="461">
        <v>45627</v>
      </c>
      <c r="U135" s="461">
        <v>45627</v>
      </c>
      <c r="V135" s="461">
        <v>45627</v>
      </c>
      <c r="W135" s="461">
        <v>45627</v>
      </c>
      <c r="X135" s="461">
        <v>45627</v>
      </c>
      <c r="Y135" s="461">
        <v>45627</v>
      </c>
      <c r="Z135" s="461">
        <v>45627</v>
      </c>
      <c r="AA135" s="461">
        <v>45627</v>
      </c>
      <c r="AB135" s="461">
        <v>45627</v>
      </c>
      <c r="AC135" s="461">
        <v>45627</v>
      </c>
      <c r="AD135" s="461">
        <v>45627</v>
      </c>
      <c r="AE135" s="461">
        <v>45627</v>
      </c>
      <c r="AF135" s="461">
        <v>45627</v>
      </c>
      <c r="AG135" s="461">
        <v>45627</v>
      </c>
      <c r="AH135" s="461">
        <v>45627</v>
      </c>
      <c r="AI135" s="461">
        <v>45627</v>
      </c>
      <c r="AJ135" s="461">
        <v>45627</v>
      </c>
      <c r="AK135" s="461">
        <v>45627</v>
      </c>
      <c r="AL135" s="461">
        <v>45627</v>
      </c>
      <c r="AM135" s="461">
        <v>45627</v>
      </c>
      <c r="AN135" s="461">
        <v>45627</v>
      </c>
      <c r="AO135" s="461">
        <v>45627</v>
      </c>
      <c r="AP135" s="461">
        <v>45627</v>
      </c>
      <c r="AQ135" s="461">
        <v>45627</v>
      </c>
      <c r="AR135" s="461">
        <v>45627</v>
      </c>
      <c r="AS135" s="461">
        <v>45627</v>
      </c>
      <c r="AT135" s="461">
        <v>45627</v>
      </c>
      <c r="AU135" s="461">
        <v>45627</v>
      </c>
      <c r="AV135" s="461">
        <v>45627</v>
      </c>
      <c r="AW135" s="461">
        <v>45627</v>
      </c>
      <c r="AX135" s="461">
        <v>45627</v>
      </c>
      <c r="AY135" s="461">
        <v>45627</v>
      </c>
      <c r="AZ135" s="461">
        <v>45627</v>
      </c>
      <c r="BB135" s="461">
        <v>45627</v>
      </c>
      <c r="BC135" s="461">
        <v>45627</v>
      </c>
      <c r="BD135" s="444"/>
      <c r="BF135" s="336"/>
    </row>
    <row r="136" spans="1:58" outlineLevel="1" x14ac:dyDescent="0.35">
      <c r="A136" s="456"/>
      <c r="B136" s="458"/>
      <c r="C136" s="514">
        <v>2024</v>
      </c>
      <c r="D136" s="462"/>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c r="AA136" s="463"/>
      <c r="AB136" s="463"/>
      <c r="AC136" s="463"/>
      <c r="AD136" s="463"/>
      <c r="AE136" s="463"/>
      <c r="AF136" s="463"/>
      <c r="AG136" s="463"/>
      <c r="AH136" s="463"/>
      <c r="AI136" s="463"/>
      <c r="AJ136" s="463"/>
      <c r="AK136" s="463"/>
      <c r="AL136" s="463"/>
      <c r="AM136" s="463"/>
      <c r="AN136" s="463"/>
      <c r="AO136" s="463"/>
      <c r="AP136" s="463"/>
      <c r="AQ136" s="463"/>
      <c r="AR136" s="463"/>
      <c r="AS136" s="463"/>
      <c r="AT136" s="463"/>
      <c r="AU136" s="463"/>
      <c r="AV136" s="463"/>
      <c r="AW136" s="463"/>
      <c r="AX136" s="463"/>
      <c r="AY136" s="463"/>
      <c r="AZ136" s="463"/>
      <c r="BB136" s="456"/>
      <c r="BC136" s="462"/>
      <c r="BD136" s="444"/>
      <c r="BF136" s="336"/>
    </row>
    <row r="137" spans="1:58" outlineLevel="1" x14ac:dyDescent="0.35">
      <c r="B137" s="464" t="s">
        <v>0</v>
      </c>
      <c r="C137" s="465" t="s">
        <v>925</v>
      </c>
      <c r="D137" s="476"/>
      <c r="E137" s="1279"/>
      <c r="AS137" s="1279"/>
      <c r="BB137" s="467"/>
      <c r="BC137" s="467"/>
      <c r="BD137" s="444"/>
      <c r="BF137" s="336"/>
    </row>
    <row r="138" spans="1:58" outlineLevel="1" x14ac:dyDescent="0.35">
      <c r="B138" s="464" t="s">
        <v>48</v>
      </c>
      <c r="C138" s="465" t="s">
        <v>925</v>
      </c>
      <c r="D138" s="467">
        <f>+BC77</f>
        <v>554175896.72602034</v>
      </c>
      <c r="E138" s="1305">
        <f>'Common Adj'!I37</f>
        <v>202019</v>
      </c>
      <c r="F138" s="468"/>
      <c r="G138" s="468"/>
      <c r="H138" s="468"/>
      <c r="I138" s="468"/>
      <c r="J138" s="469"/>
      <c r="K138" s="469"/>
      <c r="L138" s="469"/>
      <c r="M138" s="469"/>
      <c r="N138" s="469"/>
      <c r="O138" s="469"/>
      <c r="P138" s="469"/>
      <c r="Q138" s="469"/>
      <c r="R138" s="469"/>
      <c r="S138" s="469"/>
      <c r="T138" s="469"/>
      <c r="U138" s="469"/>
      <c r="V138" s="469"/>
      <c r="W138" s="469"/>
      <c r="X138" s="469"/>
      <c r="Y138" s="469"/>
      <c r="Z138" s="469"/>
      <c r="AA138" s="469"/>
      <c r="AB138" s="469"/>
      <c r="AC138" s="469"/>
      <c r="AD138" s="469"/>
      <c r="AE138" s="469"/>
      <c r="AF138" s="469"/>
      <c r="AG138" s="469"/>
      <c r="AH138" s="469"/>
      <c r="AI138" s="469"/>
      <c r="AJ138" s="469"/>
      <c r="AK138" s="469"/>
      <c r="AL138" s="469"/>
      <c r="AM138" s="468"/>
      <c r="AN138" s="469"/>
      <c r="AO138" s="469"/>
      <c r="AP138" s="469"/>
      <c r="AQ138" s="469"/>
      <c r="AR138" s="469"/>
      <c r="AS138" s="1289"/>
      <c r="AT138" s="469"/>
      <c r="AU138" s="469"/>
      <c r="AV138" s="469"/>
      <c r="AW138" s="469"/>
      <c r="AX138" s="469"/>
      <c r="AY138" s="469"/>
      <c r="AZ138" s="469"/>
      <c r="BB138" s="467">
        <f>SUM(E138:AZ138)</f>
        <v>202019</v>
      </c>
      <c r="BC138" s="467">
        <f>+BB138+BC77</f>
        <v>554377915.72602034</v>
      </c>
      <c r="BD138" s="444"/>
      <c r="BE138" s="173"/>
      <c r="BF138" s="336"/>
    </row>
    <row r="139" spans="1:58" outlineLevel="1" x14ac:dyDescent="0.35">
      <c r="B139" s="464" t="s">
        <v>49</v>
      </c>
      <c r="C139" s="465" t="s">
        <v>925</v>
      </c>
      <c r="D139" s="470">
        <f>+BC78</f>
        <v>0</v>
      </c>
      <c r="E139" s="1306"/>
      <c r="F139" s="471"/>
      <c r="G139" s="471"/>
      <c r="H139" s="471"/>
      <c r="I139" s="471"/>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2"/>
      <c r="AL139" s="472"/>
      <c r="AM139" s="471"/>
      <c r="AN139" s="472"/>
      <c r="AO139" s="472"/>
      <c r="AP139" s="472"/>
      <c r="AQ139" s="472"/>
      <c r="AR139" s="472"/>
      <c r="AS139" s="1290"/>
      <c r="AT139" s="472"/>
      <c r="AU139" s="472"/>
      <c r="AV139" s="472"/>
      <c r="AW139" s="472"/>
      <c r="AX139" s="472"/>
      <c r="AY139" s="472"/>
      <c r="AZ139" s="472"/>
      <c r="BB139" s="470">
        <f>SUM(E139:AZ139)</f>
        <v>0</v>
      </c>
      <c r="BC139" s="470">
        <f>+BB139+BC78</f>
        <v>0</v>
      </c>
      <c r="BD139" s="444"/>
      <c r="BE139" s="173"/>
      <c r="BF139" s="336"/>
    </row>
    <row r="140" spans="1:58" outlineLevel="1" x14ac:dyDescent="0.35">
      <c r="B140" s="464" t="s">
        <v>50</v>
      </c>
      <c r="C140" s="465" t="s">
        <v>925</v>
      </c>
      <c r="D140" s="470">
        <f>+BC79</f>
        <v>0</v>
      </c>
      <c r="E140" s="1306"/>
      <c r="F140" s="471"/>
      <c r="G140" s="471"/>
      <c r="H140" s="471"/>
      <c r="I140" s="471"/>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1"/>
      <c r="AN140" s="472"/>
      <c r="AO140" s="472"/>
      <c r="AP140" s="472"/>
      <c r="AQ140" s="472"/>
      <c r="AR140" s="472"/>
      <c r="AS140" s="1290"/>
      <c r="AT140" s="472"/>
      <c r="AU140" s="472"/>
      <c r="AV140" s="472"/>
      <c r="AW140" s="472"/>
      <c r="AX140" s="472"/>
      <c r="AY140" s="472"/>
      <c r="AZ140" s="472"/>
      <c r="BB140" s="470">
        <f>SUM(E140:AZ140)</f>
        <v>0</v>
      </c>
      <c r="BC140" s="470">
        <f>+BB140+BC79</f>
        <v>0</v>
      </c>
      <c r="BD140" s="444"/>
      <c r="BE140" s="173"/>
      <c r="BF140" s="336"/>
    </row>
    <row r="141" spans="1:58" outlineLevel="1" x14ac:dyDescent="0.35">
      <c r="B141" s="464" t="s">
        <v>51</v>
      </c>
      <c r="C141" s="465" t="s">
        <v>925</v>
      </c>
      <c r="D141" s="470">
        <f>+BC80</f>
        <v>-561667.03829758987</v>
      </c>
      <c r="E141" s="1306"/>
      <c r="F141" s="471"/>
      <c r="G141" s="471"/>
      <c r="H141" s="471"/>
      <c r="I141" s="471"/>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1"/>
      <c r="AN141" s="472"/>
      <c r="AO141" s="472"/>
      <c r="AP141" s="472"/>
      <c r="AQ141" s="472">
        <f>-'Gas Adj'!CC33-'Gas Adj'!CC36</f>
        <v>-43122.744148794794</v>
      </c>
      <c r="AR141" s="472"/>
      <c r="AS141" s="1290"/>
      <c r="AT141" s="472"/>
      <c r="AU141" s="472"/>
      <c r="AV141" s="472"/>
      <c r="AW141" s="472"/>
      <c r="AX141" s="472"/>
      <c r="AY141" s="472"/>
      <c r="AZ141" s="472"/>
      <c r="BB141" s="470">
        <f>SUM(E141:AZ141)</f>
        <v>-43122.744148794794</v>
      </c>
      <c r="BC141" s="470">
        <f>+BB141+BC80</f>
        <v>-604789.78244638466</v>
      </c>
      <c r="BD141" s="444"/>
      <c r="BE141" s="173"/>
      <c r="BF141" s="336"/>
    </row>
    <row r="142" spans="1:58" outlineLevel="1" x14ac:dyDescent="0.35">
      <c r="B142" s="464" t="s">
        <v>58</v>
      </c>
      <c r="C142" s="465" t="s">
        <v>925</v>
      </c>
      <c r="D142" s="473">
        <f>SUM(D138:D141)</f>
        <v>553614229.6877228</v>
      </c>
      <c r="E142" s="1307">
        <f t="shared" ref="E142:AR142" si="101">SUM(E138:E141)</f>
        <v>202019</v>
      </c>
      <c r="F142" s="474">
        <f t="shared" si="101"/>
        <v>0</v>
      </c>
      <c r="G142" s="474">
        <f t="shared" si="101"/>
        <v>0</v>
      </c>
      <c r="H142" s="474">
        <f t="shared" si="101"/>
        <v>0</v>
      </c>
      <c r="I142" s="474">
        <f t="shared" si="101"/>
        <v>0</v>
      </c>
      <c r="J142" s="436">
        <f t="shared" si="101"/>
        <v>0</v>
      </c>
      <c r="K142" s="436">
        <f t="shared" si="101"/>
        <v>0</v>
      </c>
      <c r="L142" s="436">
        <f t="shared" si="101"/>
        <v>0</v>
      </c>
      <c r="M142" s="436">
        <f t="shared" si="101"/>
        <v>0</v>
      </c>
      <c r="N142" s="436">
        <f t="shared" si="101"/>
        <v>0</v>
      </c>
      <c r="O142" s="436">
        <f t="shared" si="101"/>
        <v>0</v>
      </c>
      <c r="P142" s="436">
        <f t="shared" si="101"/>
        <v>0</v>
      </c>
      <c r="Q142" s="436">
        <f t="shared" si="101"/>
        <v>0</v>
      </c>
      <c r="R142" s="436">
        <f t="shared" si="101"/>
        <v>0</v>
      </c>
      <c r="S142" s="436">
        <f t="shared" si="101"/>
        <v>0</v>
      </c>
      <c r="T142" s="436">
        <f t="shared" si="101"/>
        <v>0</v>
      </c>
      <c r="U142" s="436">
        <f t="shared" si="101"/>
        <v>0</v>
      </c>
      <c r="V142" s="436">
        <f t="shared" si="101"/>
        <v>0</v>
      </c>
      <c r="W142" s="436">
        <f t="shared" si="101"/>
        <v>0</v>
      </c>
      <c r="X142" s="436">
        <f t="shared" si="101"/>
        <v>0</v>
      </c>
      <c r="Y142" s="436">
        <f t="shared" si="101"/>
        <v>0</v>
      </c>
      <c r="Z142" s="436">
        <f t="shared" si="101"/>
        <v>0</v>
      </c>
      <c r="AA142" s="436">
        <f t="shared" si="101"/>
        <v>0</v>
      </c>
      <c r="AB142" s="436">
        <f t="shared" si="101"/>
        <v>0</v>
      </c>
      <c r="AC142" s="436">
        <f t="shared" si="101"/>
        <v>0</v>
      </c>
      <c r="AD142" s="436">
        <f t="shared" ref="AD142" si="102">SUM(AD138:AD141)</f>
        <v>0</v>
      </c>
      <c r="AE142" s="436">
        <f>SUM(AE138:AE141)</f>
        <v>0</v>
      </c>
      <c r="AF142" s="436">
        <f>SUM(AF138:AF141)</f>
        <v>0</v>
      </c>
      <c r="AG142" s="436">
        <f>SUM(AG138:AG141)</f>
        <v>0</v>
      </c>
      <c r="AH142" s="436">
        <f t="shared" ref="AH142:AJ142" si="103">SUM(AH138:AH141)</f>
        <v>0</v>
      </c>
      <c r="AI142" s="436">
        <f t="shared" si="103"/>
        <v>0</v>
      </c>
      <c r="AJ142" s="436">
        <f t="shared" si="103"/>
        <v>0</v>
      </c>
      <c r="AK142" s="436">
        <f t="shared" si="101"/>
        <v>0</v>
      </c>
      <c r="AL142" s="436">
        <f t="shared" si="101"/>
        <v>0</v>
      </c>
      <c r="AM142" s="474">
        <f t="shared" ref="AM142:AN142" si="104">SUM(AM138:AM141)</f>
        <v>0</v>
      </c>
      <c r="AN142" s="474">
        <f t="shared" si="104"/>
        <v>0</v>
      </c>
      <c r="AO142" s="474">
        <f t="shared" ref="AO142" si="105">SUM(AO138:AO141)</f>
        <v>0</v>
      </c>
      <c r="AP142" s="436">
        <f t="shared" si="101"/>
        <v>0</v>
      </c>
      <c r="AQ142" s="436">
        <f t="shared" si="101"/>
        <v>-43122.744148794794</v>
      </c>
      <c r="AR142" s="436">
        <f t="shared" si="101"/>
        <v>0</v>
      </c>
      <c r="AS142" s="1291">
        <f t="shared" ref="AS142" si="106">SUM(AS138:AS141)</f>
        <v>0</v>
      </c>
      <c r="AT142" s="436"/>
      <c r="AU142" s="436"/>
      <c r="AV142" s="436"/>
      <c r="AW142" s="436"/>
      <c r="AX142" s="436"/>
      <c r="AY142" s="436"/>
      <c r="AZ142" s="436"/>
      <c r="BB142" s="473">
        <f>SUM(BB138:BB141)</f>
        <v>158896.25585120521</v>
      </c>
      <c r="BC142" s="473">
        <f>SUM(BC138:BC141)</f>
        <v>553773125.94357395</v>
      </c>
      <c r="BD142" s="444"/>
      <c r="BE142" s="173"/>
      <c r="BF142" s="336"/>
    </row>
    <row r="143" spans="1:58" outlineLevel="1" x14ac:dyDescent="0.35">
      <c r="B143" s="475"/>
      <c r="C143" s="465" t="s">
        <v>925</v>
      </c>
      <c r="D143" s="470"/>
      <c r="E143" s="1306"/>
      <c r="F143" s="471"/>
      <c r="G143" s="471"/>
      <c r="H143" s="471"/>
      <c r="I143" s="471"/>
      <c r="J143" s="472"/>
      <c r="K143" s="472"/>
      <c r="L143" s="472"/>
      <c r="M143" s="472"/>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472"/>
      <c r="AL143" s="472"/>
      <c r="AM143" s="471"/>
      <c r="AN143" s="472"/>
      <c r="AO143" s="472"/>
      <c r="AP143" s="472"/>
      <c r="AQ143" s="472"/>
      <c r="AR143" s="472"/>
      <c r="AS143" s="1290"/>
      <c r="AT143" s="472"/>
      <c r="AU143" s="472"/>
      <c r="AV143" s="472"/>
      <c r="AW143" s="472"/>
      <c r="AX143" s="472"/>
      <c r="AY143" s="472"/>
      <c r="AZ143" s="472"/>
      <c r="BB143" s="470"/>
      <c r="BC143" s="470"/>
      <c r="BD143" s="444"/>
      <c r="BE143" s="173"/>
      <c r="BF143" s="336"/>
    </row>
    <row r="144" spans="1:58" outlineLevel="1" x14ac:dyDescent="0.35">
      <c r="B144" s="464" t="s">
        <v>52</v>
      </c>
      <c r="C144" s="465" t="s">
        <v>925</v>
      </c>
      <c r="D144" s="466"/>
      <c r="E144" s="1308"/>
      <c r="F144" s="341"/>
      <c r="G144" s="341"/>
      <c r="H144" s="341"/>
      <c r="I144" s="341"/>
      <c r="AM144" s="341"/>
      <c r="AS144" s="1279"/>
      <c r="BB144" s="466"/>
      <c r="BC144" s="466"/>
      <c r="BD144" s="444"/>
      <c r="BE144" s="173"/>
      <c r="BF144" s="336"/>
    </row>
    <row r="145" spans="2:58" outlineLevel="1" x14ac:dyDescent="0.35">
      <c r="C145" s="465" t="s">
        <v>925</v>
      </c>
      <c r="D145" s="466"/>
      <c r="E145" s="1308"/>
      <c r="F145" s="341"/>
      <c r="G145" s="341"/>
      <c r="H145" s="341"/>
      <c r="I145" s="341"/>
      <c r="AM145" s="341"/>
      <c r="AS145" s="1279"/>
      <c r="BB145" s="466"/>
      <c r="BC145" s="466"/>
      <c r="BD145" s="444"/>
      <c r="BE145" s="173"/>
      <c r="BF145" s="336"/>
    </row>
    <row r="146" spans="2:58" outlineLevel="1" x14ac:dyDescent="0.35">
      <c r="B146" s="464" t="s">
        <v>53</v>
      </c>
      <c r="C146" s="465" t="s">
        <v>925</v>
      </c>
      <c r="D146" s="466"/>
      <c r="E146" s="1308"/>
      <c r="F146" s="341"/>
      <c r="G146" s="341"/>
      <c r="H146" s="341"/>
      <c r="I146" s="341"/>
      <c r="AM146" s="341"/>
      <c r="AS146" s="1279"/>
      <c r="BB146" s="466"/>
      <c r="BC146" s="466"/>
      <c r="BD146" s="444"/>
      <c r="BE146" s="173"/>
      <c r="BF146" s="336"/>
    </row>
    <row r="147" spans="2:58" outlineLevel="1" x14ac:dyDescent="0.35">
      <c r="B147" s="464" t="s">
        <v>54</v>
      </c>
      <c r="C147" s="465" t="s">
        <v>925</v>
      </c>
      <c r="D147" s="476">
        <f>+BC86</f>
        <v>0</v>
      </c>
      <c r="E147" s="1309"/>
      <c r="F147" s="420"/>
      <c r="G147" s="420"/>
      <c r="H147" s="420"/>
      <c r="I147" s="420"/>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420"/>
      <c r="AN147" s="173"/>
      <c r="AO147" s="173"/>
      <c r="AP147" s="173"/>
      <c r="AQ147" s="173"/>
      <c r="AR147" s="173"/>
      <c r="AS147" s="1292"/>
      <c r="AT147" s="173"/>
      <c r="AU147" s="173"/>
      <c r="AV147" s="173"/>
      <c r="AW147" s="173"/>
      <c r="AX147" s="173"/>
      <c r="AY147" s="173"/>
      <c r="AZ147" s="173"/>
      <c r="BB147" s="476">
        <f>SUM(E147:AZ147)</f>
        <v>0</v>
      </c>
      <c r="BC147" s="476">
        <f>+BB147+BC86</f>
        <v>0</v>
      </c>
      <c r="BD147" s="444"/>
      <c r="BE147" s="173"/>
      <c r="BF147" s="336"/>
    </row>
    <row r="148" spans="2:58" outlineLevel="1" x14ac:dyDescent="0.35">
      <c r="B148" s="464" t="s">
        <v>55</v>
      </c>
      <c r="C148" s="465" t="s">
        <v>925</v>
      </c>
      <c r="D148" s="470">
        <f>+BC87</f>
        <v>0</v>
      </c>
      <c r="E148" s="1306"/>
      <c r="F148" s="471"/>
      <c r="G148" s="471"/>
      <c r="H148" s="471"/>
      <c r="I148" s="471"/>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2"/>
      <c r="AL148" s="472"/>
      <c r="AM148" s="471"/>
      <c r="AN148" s="472"/>
      <c r="AO148" s="472"/>
      <c r="AP148" s="472"/>
      <c r="AQ148" s="472"/>
      <c r="AR148" s="472"/>
      <c r="AS148" s="1290"/>
      <c r="AT148" s="472"/>
      <c r="AU148" s="472"/>
      <c r="AV148" s="472"/>
      <c r="AW148" s="472"/>
      <c r="AX148" s="472"/>
      <c r="AY148" s="472"/>
      <c r="AZ148" s="472"/>
      <c r="BB148" s="470">
        <f>SUM(E148:AZ148)</f>
        <v>0</v>
      </c>
      <c r="BC148" s="470">
        <f>+BB148+BC87</f>
        <v>0</v>
      </c>
      <c r="BD148" s="444"/>
      <c r="BE148" s="173"/>
      <c r="BF148" s="336"/>
    </row>
    <row r="149" spans="2:58" outlineLevel="1" x14ac:dyDescent="0.35">
      <c r="B149" s="464" t="s">
        <v>56</v>
      </c>
      <c r="C149" s="465" t="s">
        <v>925</v>
      </c>
      <c r="D149" s="470">
        <f>+BC88</f>
        <v>0</v>
      </c>
      <c r="E149" s="1306"/>
      <c r="F149" s="471"/>
      <c r="G149" s="471"/>
      <c r="H149" s="471"/>
      <c r="I149" s="471"/>
      <c r="J149" s="472"/>
      <c r="K149" s="472"/>
      <c r="L149" s="472"/>
      <c r="M149" s="472"/>
      <c r="N149" s="472"/>
      <c r="O149" s="472"/>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2"/>
      <c r="AL149" s="472"/>
      <c r="AM149" s="471"/>
      <c r="AN149" s="472"/>
      <c r="AO149" s="472"/>
      <c r="AP149" s="472"/>
      <c r="AQ149" s="472"/>
      <c r="AR149" s="472"/>
      <c r="AS149" s="1290"/>
      <c r="AT149" s="472"/>
      <c r="AU149" s="472"/>
      <c r="AV149" s="472"/>
      <c r="AW149" s="472"/>
      <c r="AX149" s="472"/>
      <c r="AY149" s="472"/>
      <c r="AZ149" s="472"/>
      <c r="BB149" s="470">
        <f>SUM(E149:AZ149)</f>
        <v>0</v>
      </c>
      <c r="BC149" s="470">
        <f>+BB149+BC88</f>
        <v>0</v>
      </c>
      <c r="BD149" s="444"/>
      <c r="BE149" s="173"/>
      <c r="BF149" s="336"/>
    </row>
    <row r="150" spans="2:58" outlineLevel="1" x14ac:dyDescent="0.35">
      <c r="B150" s="329" t="s">
        <v>57</v>
      </c>
      <c r="C150" s="465" t="s">
        <v>925</v>
      </c>
      <c r="D150" s="470">
        <f>+BC89</f>
        <v>0</v>
      </c>
      <c r="E150" s="1306"/>
      <c r="F150" s="471"/>
      <c r="G150" s="471"/>
      <c r="H150" s="471"/>
      <c r="I150" s="471"/>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2"/>
      <c r="AL150" s="472"/>
      <c r="AM150" s="471"/>
      <c r="AN150" s="472"/>
      <c r="AO150" s="472"/>
      <c r="AP150" s="472"/>
      <c r="AQ150" s="472"/>
      <c r="AR150" s="472"/>
      <c r="AS150" s="1290"/>
      <c r="AT150" s="472"/>
      <c r="AU150" s="472"/>
      <c r="AV150" s="472"/>
      <c r="AW150" s="472"/>
      <c r="AX150" s="472"/>
      <c r="AY150" s="472"/>
      <c r="AZ150" s="472"/>
      <c r="BB150" s="470">
        <f>SUM(E150:AZ150)</f>
        <v>0</v>
      </c>
      <c r="BC150" s="470">
        <f>+BB150+BC89</f>
        <v>0</v>
      </c>
      <c r="BD150" s="444"/>
      <c r="BE150" s="173"/>
      <c r="BF150" s="336"/>
    </row>
    <row r="151" spans="2:58" outlineLevel="1" x14ac:dyDescent="0.35">
      <c r="B151" s="464" t="s">
        <v>1</v>
      </c>
      <c r="C151" s="465" t="s">
        <v>925</v>
      </c>
      <c r="D151" s="477">
        <f>SUM(D146:D150)</f>
        <v>0</v>
      </c>
      <c r="E151" s="1310">
        <f t="shared" ref="E151:AR151" si="107">SUM(E146:E150)</f>
        <v>0</v>
      </c>
      <c r="F151" s="478">
        <f t="shared" si="107"/>
        <v>0</v>
      </c>
      <c r="G151" s="478">
        <f t="shared" si="107"/>
        <v>0</v>
      </c>
      <c r="H151" s="478">
        <f t="shared" si="107"/>
        <v>0</v>
      </c>
      <c r="I151" s="478">
        <f t="shared" si="107"/>
        <v>0</v>
      </c>
      <c r="J151" s="479">
        <f t="shared" si="107"/>
        <v>0</v>
      </c>
      <c r="K151" s="479">
        <f t="shared" si="107"/>
        <v>0</v>
      </c>
      <c r="L151" s="479">
        <f t="shared" si="107"/>
        <v>0</v>
      </c>
      <c r="M151" s="479">
        <f t="shared" si="107"/>
        <v>0</v>
      </c>
      <c r="N151" s="479">
        <f t="shared" si="107"/>
        <v>0</v>
      </c>
      <c r="O151" s="479">
        <f t="shared" si="107"/>
        <v>0</v>
      </c>
      <c r="P151" s="479">
        <f t="shared" si="107"/>
        <v>0</v>
      </c>
      <c r="Q151" s="479">
        <f t="shared" si="107"/>
        <v>0</v>
      </c>
      <c r="R151" s="479">
        <f t="shared" si="107"/>
        <v>0</v>
      </c>
      <c r="S151" s="479">
        <f t="shared" si="107"/>
        <v>0</v>
      </c>
      <c r="T151" s="479">
        <f t="shared" si="107"/>
        <v>0</v>
      </c>
      <c r="U151" s="479">
        <f t="shared" si="107"/>
        <v>0</v>
      </c>
      <c r="V151" s="479">
        <f t="shared" si="107"/>
        <v>0</v>
      </c>
      <c r="W151" s="479">
        <f t="shared" si="107"/>
        <v>0</v>
      </c>
      <c r="X151" s="479">
        <f t="shared" si="107"/>
        <v>0</v>
      </c>
      <c r="Y151" s="479">
        <f t="shared" si="107"/>
        <v>0</v>
      </c>
      <c r="Z151" s="479">
        <f t="shared" si="107"/>
        <v>0</v>
      </c>
      <c r="AA151" s="479">
        <f t="shared" si="107"/>
        <v>0</v>
      </c>
      <c r="AB151" s="479">
        <f t="shared" si="107"/>
        <v>0</v>
      </c>
      <c r="AC151" s="479">
        <f t="shared" si="107"/>
        <v>0</v>
      </c>
      <c r="AD151" s="479">
        <f t="shared" ref="AD151" si="108">SUM(AD146:AD150)</f>
        <v>0</v>
      </c>
      <c r="AE151" s="479">
        <f>SUM(AE146:AE150)</f>
        <v>0</v>
      </c>
      <c r="AF151" s="479">
        <f>SUM(AF146:AF150)</f>
        <v>0</v>
      </c>
      <c r="AG151" s="479">
        <f>SUM(AG146:AG150)</f>
        <v>0</v>
      </c>
      <c r="AH151" s="479">
        <f t="shared" ref="AH151:AJ151" si="109">SUM(AH146:AH150)</f>
        <v>0</v>
      </c>
      <c r="AI151" s="479">
        <f t="shared" si="109"/>
        <v>0</v>
      </c>
      <c r="AJ151" s="479">
        <f t="shared" si="109"/>
        <v>0</v>
      </c>
      <c r="AK151" s="479">
        <f t="shared" si="107"/>
        <v>0</v>
      </c>
      <c r="AL151" s="479">
        <f t="shared" si="107"/>
        <v>0</v>
      </c>
      <c r="AM151" s="479">
        <f t="shared" ref="AM151:AN151" si="110">SUM(AM146:AM150)</f>
        <v>0</v>
      </c>
      <c r="AN151" s="479">
        <f t="shared" si="110"/>
        <v>0</v>
      </c>
      <c r="AO151" s="479">
        <f t="shared" ref="AO151" si="111">SUM(AO146:AO150)</f>
        <v>0</v>
      </c>
      <c r="AP151" s="479">
        <f t="shared" si="107"/>
        <v>0</v>
      </c>
      <c r="AQ151" s="479">
        <f t="shared" si="107"/>
        <v>0</v>
      </c>
      <c r="AR151" s="479">
        <f t="shared" si="107"/>
        <v>0</v>
      </c>
      <c r="AS151" s="1293">
        <f t="shared" ref="AS151" si="112">SUM(AS146:AS150)</f>
        <v>0</v>
      </c>
      <c r="AT151" s="479"/>
      <c r="AU151" s="479"/>
      <c r="AV151" s="479"/>
      <c r="AW151" s="479"/>
      <c r="AX151" s="479"/>
      <c r="AY151" s="479"/>
      <c r="AZ151" s="479"/>
      <c r="BB151" s="477">
        <f>SUM(BB146:BB150)</f>
        <v>0</v>
      </c>
      <c r="BC151" s="477">
        <f>SUM(BC146:BC150)</f>
        <v>0</v>
      </c>
      <c r="BD151" s="444"/>
      <c r="BE151" s="173"/>
      <c r="BF151" s="336"/>
    </row>
    <row r="152" spans="2:58" outlineLevel="1" x14ac:dyDescent="0.35">
      <c r="B152" s="464"/>
      <c r="C152" s="465" t="s">
        <v>925</v>
      </c>
      <c r="D152" s="476"/>
      <c r="E152" s="1309"/>
      <c r="F152" s="420"/>
      <c r="G152" s="420"/>
      <c r="H152" s="420"/>
      <c r="I152" s="420"/>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292"/>
      <c r="AT152" s="173"/>
      <c r="AU152" s="173"/>
      <c r="AV152" s="173"/>
      <c r="AW152" s="173"/>
      <c r="AX152" s="173"/>
      <c r="AY152" s="173"/>
      <c r="AZ152" s="173"/>
      <c r="BB152" s="476"/>
      <c r="BC152" s="476"/>
      <c r="BD152" s="444"/>
      <c r="BE152" s="173"/>
      <c r="BF152" s="336"/>
    </row>
    <row r="153" spans="2:58" outlineLevel="1" x14ac:dyDescent="0.35">
      <c r="B153" s="480" t="s">
        <v>59</v>
      </c>
      <c r="C153" s="465" t="s">
        <v>925</v>
      </c>
      <c r="D153" s="470">
        <f t="shared" ref="D153:D166" si="113">+BC92</f>
        <v>7868532.0721845422</v>
      </c>
      <c r="E153" s="1290"/>
      <c r="F153" s="472"/>
      <c r="G153" s="472"/>
      <c r="H153" s="472"/>
      <c r="I153" s="472"/>
      <c r="J153" s="472"/>
      <c r="K153" s="472"/>
      <c r="L153" s="472"/>
      <c r="M153" s="472"/>
      <c r="N153" s="472"/>
      <c r="O153" s="472">
        <f>'Common Adj'!GG18+'Common Adj'!GG17+'Common Adj'!GG19</f>
        <v>7528.1196549577071</v>
      </c>
      <c r="P153" s="472"/>
      <c r="Q153" s="472"/>
      <c r="R153" s="472"/>
      <c r="S153" s="472"/>
      <c r="T153" s="472"/>
      <c r="U153" s="472"/>
      <c r="V153" s="472"/>
      <c r="W153" s="472"/>
      <c r="X153" s="472"/>
      <c r="Y153" s="472"/>
      <c r="Z153" s="472"/>
      <c r="AA153" s="472"/>
      <c r="AB153" s="472"/>
      <c r="AC153" s="472"/>
      <c r="AD153" s="472"/>
      <c r="AE153" s="472"/>
      <c r="AF153" s="472"/>
      <c r="AG153" s="472"/>
      <c r="AH153" s="472"/>
      <c r="AI153" s="472"/>
      <c r="AJ153" s="472"/>
      <c r="AK153" s="472"/>
      <c r="AL153" s="472"/>
      <c r="AM153" s="471"/>
      <c r="AN153" s="472"/>
      <c r="AO153" s="472"/>
      <c r="AP153" s="472"/>
      <c r="AQ153" s="472"/>
      <c r="AR153" s="472"/>
      <c r="AS153" s="1290"/>
      <c r="AT153" s="173"/>
      <c r="AU153" s="173"/>
      <c r="AV153" s="173"/>
      <c r="AW153" s="173"/>
      <c r="AX153" s="173"/>
      <c r="AY153" s="173"/>
      <c r="AZ153" s="173"/>
      <c r="BB153" s="470">
        <f t="shared" ref="BB153:BB166" si="114">SUM(E153:AZ153)</f>
        <v>7528.1196549577071</v>
      </c>
      <c r="BC153" s="476">
        <f t="shared" ref="BC153:BC166" si="115">+BB153+BC92</f>
        <v>7876060.1918395003</v>
      </c>
      <c r="BD153" s="444"/>
      <c r="BE153" s="173"/>
      <c r="BF153" s="336"/>
    </row>
    <row r="154" spans="2:58" outlineLevel="1" x14ac:dyDescent="0.35">
      <c r="B154" s="464" t="s">
        <v>60</v>
      </c>
      <c r="C154" s="465" t="s">
        <v>925</v>
      </c>
      <c r="D154" s="470">
        <f t="shared" si="113"/>
        <v>0</v>
      </c>
      <c r="E154" s="1290"/>
      <c r="F154" s="472"/>
      <c r="G154" s="472"/>
      <c r="H154" s="472"/>
      <c r="I154" s="472"/>
      <c r="J154" s="472"/>
      <c r="K154" s="472"/>
      <c r="L154" s="472"/>
      <c r="M154" s="472"/>
      <c r="N154" s="472"/>
      <c r="O154" s="472">
        <f>+'Common Adj'!GG20</f>
        <v>0</v>
      </c>
      <c r="P154" s="472"/>
      <c r="Q154" s="472"/>
      <c r="R154" s="472"/>
      <c r="S154" s="472"/>
      <c r="T154" s="472"/>
      <c r="U154" s="472"/>
      <c r="V154" s="472"/>
      <c r="W154" s="472"/>
      <c r="X154" s="472"/>
      <c r="Y154" s="472"/>
      <c r="Z154" s="472"/>
      <c r="AA154" s="472"/>
      <c r="AB154" s="472"/>
      <c r="AC154" s="472"/>
      <c r="AD154" s="472"/>
      <c r="AE154" s="472"/>
      <c r="AF154" s="472"/>
      <c r="AG154" s="472"/>
      <c r="AH154" s="472"/>
      <c r="AI154" s="472"/>
      <c r="AJ154" s="472"/>
      <c r="AK154" s="472"/>
      <c r="AL154" s="472"/>
      <c r="AM154" s="471"/>
      <c r="AN154" s="472"/>
      <c r="AO154" s="472"/>
      <c r="AP154" s="472"/>
      <c r="AQ154" s="472"/>
      <c r="AR154" s="472"/>
      <c r="AS154" s="1290"/>
      <c r="AT154" s="472"/>
      <c r="AU154" s="472"/>
      <c r="AV154" s="472"/>
      <c r="AW154" s="472"/>
      <c r="AX154" s="472"/>
      <c r="AY154" s="472"/>
      <c r="AZ154" s="472"/>
      <c r="BB154" s="470">
        <f t="shared" si="114"/>
        <v>0</v>
      </c>
      <c r="BC154" s="470">
        <f t="shared" si="115"/>
        <v>0</v>
      </c>
      <c r="BD154" s="444"/>
      <c r="BE154" s="173"/>
      <c r="BF154" s="336"/>
    </row>
    <row r="155" spans="2:58" outlineLevel="1" x14ac:dyDescent="0.35">
      <c r="B155" s="464" t="s">
        <v>61</v>
      </c>
      <c r="C155" s="465" t="s">
        <v>925</v>
      </c>
      <c r="D155" s="470">
        <f t="shared" si="113"/>
        <v>64446443.13880299</v>
      </c>
      <c r="E155" s="1290"/>
      <c r="F155" s="472"/>
      <c r="G155" s="472"/>
      <c r="H155" s="472"/>
      <c r="I155" s="472"/>
      <c r="J155" s="472"/>
      <c r="K155" s="472"/>
      <c r="L155" s="472"/>
      <c r="M155" s="472"/>
      <c r="N155" s="472"/>
      <c r="O155" s="472">
        <f>+'Common Adj'!GG21</f>
        <v>44973.15213659755</v>
      </c>
      <c r="P155" s="472"/>
      <c r="Q155" s="472"/>
      <c r="R155" s="472"/>
      <c r="S155" s="472"/>
      <c r="T155" s="472"/>
      <c r="U155" s="472"/>
      <c r="V155" s="472"/>
      <c r="W155" s="472"/>
      <c r="X155" s="472"/>
      <c r="Y155" s="472"/>
      <c r="Z155" s="472"/>
      <c r="AA155" s="472"/>
      <c r="AB155" s="472"/>
      <c r="AC155" s="472"/>
      <c r="AD155" s="472"/>
      <c r="AE155" s="472"/>
      <c r="AF155" s="472"/>
      <c r="AG155" s="472"/>
      <c r="AH155" s="472"/>
      <c r="AI155" s="472"/>
      <c r="AJ155" s="472"/>
      <c r="AK155" s="472"/>
      <c r="AL155" s="472"/>
      <c r="AM155" s="471"/>
      <c r="AN155" s="472"/>
      <c r="AO155" s="472"/>
      <c r="AP155" s="472"/>
      <c r="AQ155" s="472"/>
      <c r="AR155" s="472"/>
      <c r="AS155" s="1290"/>
      <c r="AT155" s="472"/>
      <c r="AU155" s="472"/>
      <c r="AV155" s="472"/>
      <c r="AW155" s="472"/>
      <c r="AX155" s="472"/>
      <c r="AY155" s="472"/>
      <c r="AZ155" s="472"/>
      <c r="BB155" s="470">
        <f t="shared" si="114"/>
        <v>44973.15213659755</v>
      </c>
      <c r="BC155" s="470">
        <f t="shared" si="115"/>
        <v>64491416.290939584</v>
      </c>
      <c r="BD155" s="444"/>
      <c r="BE155" s="173"/>
      <c r="BF155" s="336"/>
    </row>
    <row r="156" spans="2:58" outlineLevel="1" x14ac:dyDescent="0.35">
      <c r="B156" s="464" t="s">
        <v>62</v>
      </c>
      <c r="C156" s="465" t="s">
        <v>925</v>
      </c>
      <c r="D156" s="470">
        <f t="shared" si="113"/>
        <v>23491920.917662185</v>
      </c>
      <c r="E156" s="1290">
        <f>'Common Adj'!I64</f>
        <v>584.03692899999999</v>
      </c>
      <c r="F156" s="472"/>
      <c r="G156" s="472"/>
      <c r="H156" s="472"/>
      <c r="I156" s="472"/>
      <c r="J156" s="472"/>
      <c r="K156" s="472"/>
      <c r="L156" s="472"/>
      <c r="M156" s="472"/>
      <c r="N156" s="472"/>
      <c r="O156" s="472">
        <f>+'Common Adj'!GG22</f>
        <v>10051.621943489474</v>
      </c>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2"/>
      <c r="AL156" s="472"/>
      <c r="AM156" s="471"/>
      <c r="AN156" s="472"/>
      <c r="AO156" s="472"/>
      <c r="AP156" s="472"/>
      <c r="AQ156" s="472"/>
      <c r="AR156" s="472"/>
      <c r="AS156" s="1290"/>
      <c r="AT156" s="472"/>
      <c r="AU156" s="472"/>
      <c r="AV156" s="472"/>
      <c r="AW156" s="472"/>
      <c r="AX156" s="472"/>
      <c r="AY156" s="472"/>
      <c r="AZ156" s="472"/>
      <c r="BB156" s="470">
        <f t="shared" si="114"/>
        <v>10635.658872489474</v>
      </c>
      <c r="BC156" s="470">
        <f t="shared" si="115"/>
        <v>23502556.576534674</v>
      </c>
      <c r="BD156" s="444"/>
      <c r="BE156" s="173"/>
      <c r="BF156" s="336"/>
    </row>
    <row r="157" spans="2:58" outlineLevel="1" x14ac:dyDescent="0.35">
      <c r="B157" s="464" t="s">
        <v>63</v>
      </c>
      <c r="C157" s="465" t="s">
        <v>925</v>
      </c>
      <c r="D157" s="470">
        <f t="shared" si="113"/>
        <v>2400079.1042956277</v>
      </c>
      <c r="E157" s="1290"/>
      <c r="F157" s="472"/>
      <c r="G157" s="472"/>
      <c r="H157" s="472"/>
      <c r="I157" s="472"/>
      <c r="J157" s="472"/>
      <c r="K157" s="472"/>
      <c r="L157" s="472"/>
      <c r="M157" s="472"/>
      <c r="N157" s="472"/>
      <c r="O157" s="472">
        <f>+'Common Adj'!GG23+'Common Adj'!GG24</f>
        <v>1733.1554567787998</v>
      </c>
      <c r="P157" s="472"/>
      <c r="Q157" s="472"/>
      <c r="R157" s="472"/>
      <c r="S157" s="472"/>
      <c r="T157" s="472"/>
      <c r="U157" s="472"/>
      <c r="V157" s="472"/>
      <c r="W157" s="472"/>
      <c r="X157" s="472"/>
      <c r="Y157" s="472"/>
      <c r="Z157" s="472"/>
      <c r="AA157" s="472"/>
      <c r="AB157" s="472"/>
      <c r="AC157" s="472"/>
      <c r="AD157" s="472"/>
      <c r="AE157" s="472"/>
      <c r="AF157" s="472"/>
      <c r="AG157" s="472"/>
      <c r="AH157" s="472"/>
      <c r="AI157" s="472"/>
      <c r="AJ157" s="472"/>
      <c r="AK157" s="472"/>
      <c r="AL157" s="472"/>
      <c r="AM157" s="471"/>
      <c r="AN157" s="472"/>
      <c r="AO157" s="472"/>
      <c r="AP157" s="472"/>
      <c r="AQ157" s="472"/>
      <c r="AR157" s="472"/>
      <c r="AS157" s="1290"/>
      <c r="AT157" s="472"/>
      <c r="AU157" s="472"/>
      <c r="AV157" s="472"/>
      <c r="AW157" s="472"/>
      <c r="AX157" s="472"/>
      <c r="AY157" s="472"/>
      <c r="AZ157" s="472"/>
      <c r="BB157" s="470">
        <f t="shared" si="114"/>
        <v>1733.1554567787998</v>
      </c>
      <c r="BC157" s="470">
        <f t="shared" si="115"/>
        <v>2401812.2597524063</v>
      </c>
      <c r="BD157" s="444"/>
      <c r="BE157" s="173"/>
      <c r="BF157" s="336"/>
    </row>
    <row r="158" spans="2:58" outlineLevel="1" x14ac:dyDescent="0.35">
      <c r="B158" s="464" t="s">
        <v>64</v>
      </c>
      <c r="C158" s="465" t="s">
        <v>925</v>
      </c>
      <c r="D158" s="470">
        <f t="shared" si="113"/>
        <v>0</v>
      </c>
      <c r="E158" s="1290"/>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72"/>
      <c r="AM158" s="471"/>
      <c r="AN158" s="472"/>
      <c r="AO158" s="472"/>
      <c r="AP158" s="472"/>
      <c r="AQ158" s="472"/>
      <c r="AR158" s="472"/>
      <c r="AS158" s="1290"/>
      <c r="AT158" s="472"/>
      <c r="AU158" s="472"/>
      <c r="AV158" s="472"/>
      <c r="AW158" s="472"/>
      <c r="AX158" s="472"/>
      <c r="AY158" s="472"/>
      <c r="AZ158" s="472"/>
      <c r="BB158" s="470">
        <f t="shared" si="114"/>
        <v>0</v>
      </c>
      <c r="BC158" s="470">
        <f t="shared" si="115"/>
        <v>0</v>
      </c>
      <c r="BD158" s="444"/>
      <c r="BE158" s="173"/>
      <c r="BF158" s="336"/>
    </row>
    <row r="159" spans="2:58" outlineLevel="1" x14ac:dyDescent="0.35">
      <c r="B159" s="464" t="s">
        <v>65</v>
      </c>
      <c r="C159" s="465" t="s">
        <v>925</v>
      </c>
      <c r="D159" s="470">
        <f t="shared" si="113"/>
        <v>73956671.937715605</v>
      </c>
      <c r="E159" s="1290">
        <f>'Common Adj'!I65</f>
        <v>808.07600000000002</v>
      </c>
      <c r="F159" s="472"/>
      <c r="G159" s="472"/>
      <c r="H159" s="472"/>
      <c r="I159" s="472"/>
      <c r="J159" s="472"/>
      <c r="K159" s="472"/>
      <c r="L159" s="472"/>
      <c r="M159" s="472"/>
      <c r="N159" s="472"/>
      <c r="O159" s="472">
        <f>+'Common Adj'!GG25</f>
        <v>30118.048431473668</v>
      </c>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472"/>
      <c r="AK159" s="472"/>
      <c r="AL159" s="472"/>
      <c r="AM159" s="471"/>
      <c r="AN159" s="472"/>
      <c r="AO159" s="472"/>
      <c r="AP159" s="472"/>
      <c r="AQ159" s="472"/>
      <c r="AR159" s="472"/>
      <c r="AS159" s="1290"/>
      <c r="AT159" s="472"/>
      <c r="AU159" s="511"/>
      <c r="AV159" s="472"/>
      <c r="AW159" s="472"/>
      <c r="AX159" s="472"/>
      <c r="AY159" s="472"/>
      <c r="AZ159" s="472"/>
      <c r="BB159" s="470">
        <f t="shared" si="114"/>
        <v>30926.124431473669</v>
      </c>
      <c r="BC159" s="470">
        <f t="shared" si="115"/>
        <v>73987598.062147081</v>
      </c>
      <c r="BD159" s="444"/>
      <c r="BE159" s="173"/>
      <c r="BF159" s="336"/>
    </row>
    <row r="160" spans="2:58" outlineLevel="1" x14ac:dyDescent="0.35">
      <c r="B160" s="464" t="s">
        <v>66</v>
      </c>
      <c r="C160" s="465" t="s">
        <v>925</v>
      </c>
      <c r="D160" s="470">
        <f t="shared" si="113"/>
        <v>168798371.72929665</v>
      </c>
      <c r="E160" s="1290"/>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f>'Common Adj'!RJ17+'Common Adj'!RJ18</f>
        <v>284689.21257165074</v>
      </c>
      <c r="AF160" s="472">
        <f>'Common Adj'!SB16+'Common Adj'!SB17</f>
        <v>-254648.25999999995</v>
      </c>
      <c r="AG160" s="472">
        <f>'Common Adj'!$ST$16+'Common Adj'!$ST$17</f>
        <v>4488505.0870949998</v>
      </c>
      <c r="AH160" s="472">
        <f>'Common Adj'!$ST$34+'Common Adj'!$ST$35</f>
        <v>2788911.22</v>
      </c>
      <c r="AI160" s="472">
        <f>'Common Adj'!$ST$52+'Common Adj'!$ST$53</f>
        <v>15198.15</v>
      </c>
      <c r="AJ160" s="472">
        <f>'Common Adj'!$ST$70+'Common Adj'!$ST$71</f>
        <v>1332275.6806800002</v>
      </c>
      <c r="AK160" s="472"/>
      <c r="AL160" s="472"/>
      <c r="AM160" s="471"/>
      <c r="AN160" s="472"/>
      <c r="AO160" s="472"/>
      <c r="AP160" s="472"/>
      <c r="AQ160" s="472"/>
      <c r="AR160" s="472">
        <f>'Gas Adj'!CU25</f>
        <v>-687308.34716399759</v>
      </c>
      <c r="AS160" s="1290">
        <f>'Gas Adj'!DD25</f>
        <v>0</v>
      </c>
      <c r="AT160" s="173"/>
      <c r="AW160" s="356"/>
      <c r="AX160" s="341"/>
      <c r="BB160" s="470">
        <f t="shared" si="114"/>
        <v>7967622.7431826554</v>
      </c>
      <c r="BC160" s="470">
        <f t="shared" si="115"/>
        <v>176765994.47247931</v>
      </c>
      <c r="BD160" s="444"/>
      <c r="BE160" s="173"/>
      <c r="BF160" s="336"/>
    </row>
    <row r="161" spans="2:58" outlineLevel="1" x14ac:dyDescent="0.35">
      <c r="B161" s="464" t="s">
        <v>67</v>
      </c>
      <c r="C161" s="465" t="s">
        <v>925</v>
      </c>
      <c r="D161" s="470">
        <f t="shared" si="113"/>
        <v>25292226.692707248</v>
      </c>
      <c r="E161" s="1290"/>
      <c r="F161" s="472"/>
      <c r="G161" s="472"/>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f>'Common Adj'!RJ19+'Common Adj'!RJ20</f>
        <v>-2253078.2972623855</v>
      </c>
      <c r="AF161" s="472">
        <f>'Common Adj'!SB18+'Common Adj'!SB19</f>
        <v>0</v>
      </c>
      <c r="AG161" s="472">
        <f>'Common Adj'!$ST$18+'Common Adj'!$ST$19</f>
        <v>2503718.8050599997</v>
      </c>
      <c r="AH161" s="472">
        <f>'Common Adj'!$ST$36+'Common Adj'!$ST$37</f>
        <v>0</v>
      </c>
      <c r="AI161" s="472">
        <f>'Common Adj'!$ST$54+'Common Adj'!$ST$55</f>
        <v>0</v>
      </c>
      <c r="AJ161" s="472">
        <f>'Common Adj'!$ST$72+'Common Adj'!$ST$73</f>
        <v>4767016.7120850002</v>
      </c>
      <c r="AK161" s="472"/>
      <c r="AL161" s="472"/>
      <c r="AM161" s="471"/>
      <c r="AN161" s="472"/>
      <c r="AO161" s="472"/>
      <c r="AP161" s="472"/>
      <c r="AQ161" s="472"/>
      <c r="AR161" s="472">
        <f>'Gas Adj'!CU26</f>
        <v>-149248.62200000003</v>
      </c>
      <c r="AS161" s="1290">
        <f>'Gas Adj'!DD26</f>
        <v>0</v>
      </c>
      <c r="AT161" s="472"/>
      <c r="AU161" s="472"/>
      <c r="AV161" s="472"/>
      <c r="AW161" s="471"/>
      <c r="AX161" s="471"/>
      <c r="AY161" s="472"/>
      <c r="AZ161" s="472"/>
      <c r="BB161" s="470">
        <f t="shared" si="114"/>
        <v>4868408.5978826145</v>
      </c>
      <c r="BC161" s="470">
        <f t="shared" si="115"/>
        <v>30160635.290589862</v>
      </c>
      <c r="BD161" s="444"/>
      <c r="BE161" s="173"/>
      <c r="BF161" s="336"/>
    </row>
    <row r="162" spans="2:58" outlineLevel="1" x14ac:dyDescent="0.35">
      <c r="B162" s="480" t="s">
        <v>68</v>
      </c>
      <c r="C162" s="465" t="s">
        <v>925</v>
      </c>
      <c r="D162" s="470">
        <f t="shared" si="113"/>
        <v>0</v>
      </c>
      <c r="E162" s="1290"/>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1"/>
      <c r="AN162" s="472"/>
      <c r="AO162" s="472"/>
      <c r="AP162" s="472"/>
      <c r="AQ162" s="472"/>
      <c r="AR162" s="472"/>
      <c r="AS162" s="1290"/>
      <c r="AT162" s="472"/>
      <c r="AU162" s="472"/>
      <c r="AV162" s="472"/>
      <c r="AW162" s="471"/>
      <c r="AX162" s="471"/>
      <c r="AY162" s="472"/>
      <c r="AZ162" s="472"/>
      <c r="BB162" s="470">
        <f t="shared" si="114"/>
        <v>0</v>
      </c>
      <c r="BC162" s="470">
        <f t="shared" si="115"/>
        <v>0</v>
      </c>
      <c r="BD162" s="444"/>
      <c r="BE162" s="173"/>
      <c r="BF162" s="336"/>
    </row>
    <row r="163" spans="2:58" outlineLevel="1" x14ac:dyDescent="0.35">
      <c r="B163" s="464" t="s">
        <v>69</v>
      </c>
      <c r="C163" s="465" t="s">
        <v>925</v>
      </c>
      <c r="D163" s="470">
        <f t="shared" si="113"/>
        <v>18008170.846447498</v>
      </c>
      <c r="E163" s="1290"/>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f>'Common Adj'!PY17</f>
        <v>10589.591500000097</v>
      </c>
      <c r="AD163" s="472"/>
      <c r="AE163" s="472"/>
      <c r="AF163" s="472"/>
      <c r="AG163" s="472"/>
      <c r="AH163" s="472"/>
      <c r="AI163" s="472"/>
      <c r="AJ163" s="472"/>
      <c r="AK163" s="472"/>
      <c r="AL163" s="472">
        <f>'Common Adj'!UY24</f>
        <v>0</v>
      </c>
      <c r="AM163" s="471"/>
      <c r="AN163" s="472"/>
      <c r="AO163" s="472"/>
      <c r="AP163" s="472"/>
      <c r="AQ163" s="472">
        <f>'Gas Adj'!CC44-'Gas Adj'!CC33-'Gas Adj'!CC36</f>
        <v>-2567889.2523350799</v>
      </c>
      <c r="AR163" s="472"/>
      <c r="AS163" s="1290"/>
      <c r="AT163" s="472"/>
      <c r="AU163" s="472"/>
      <c r="AV163" s="472"/>
      <c r="AW163" s="471"/>
      <c r="AX163" s="471"/>
      <c r="AY163" s="472"/>
      <c r="AZ163" s="472"/>
      <c r="BB163" s="470">
        <f t="shared" si="114"/>
        <v>-2557299.6608350798</v>
      </c>
      <c r="BC163" s="470">
        <f t="shared" si="115"/>
        <v>15450871.185612418</v>
      </c>
      <c r="BD163" s="444"/>
      <c r="BE163" s="173"/>
      <c r="BF163" s="336"/>
    </row>
    <row r="164" spans="2:58" outlineLevel="1" x14ac:dyDescent="0.35">
      <c r="B164" s="464" t="s">
        <v>70</v>
      </c>
      <c r="C164" s="465" t="s">
        <v>925</v>
      </c>
      <c r="D164" s="470">
        <f t="shared" si="113"/>
        <v>26287021.270977296</v>
      </c>
      <c r="E164" s="1290">
        <f>'Common Adj'!I66</f>
        <v>7759.3477709999997</v>
      </c>
      <c r="F164" s="472"/>
      <c r="G164" s="472"/>
      <c r="H164" s="472"/>
      <c r="I164" s="472"/>
      <c r="J164" s="472"/>
      <c r="K164" s="472"/>
      <c r="L164" s="472"/>
      <c r="M164" s="472"/>
      <c r="N164" s="472"/>
      <c r="O164" s="472">
        <f>+'Common Adj'!GG28</f>
        <v>8298.1201810878229</v>
      </c>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1"/>
      <c r="AN164" s="472"/>
      <c r="AO164" s="472"/>
      <c r="AP164" s="472"/>
      <c r="AQ164" s="472"/>
      <c r="AR164" s="472"/>
      <c r="AS164" s="1290"/>
      <c r="AT164" s="472"/>
      <c r="AU164" s="472"/>
      <c r="AV164" s="472"/>
      <c r="AW164" s="471"/>
      <c r="AX164" s="471"/>
      <c r="AY164" s="472"/>
      <c r="AZ164" s="472"/>
      <c r="BB164" s="470">
        <f t="shared" si="114"/>
        <v>16057.467952087824</v>
      </c>
      <c r="BC164" s="470">
        <f t="shared" si="115"/>
        <v>26303078.738929383</v>
      </c>
      <c r="BD164" s="444"/>
      <c r="BE164" s="173"/>
      <c r="BF164" s="336"/>
    </row>
    <row r="165" spans="2:58" outlineLevel="1" x14ac:dyDescent="0.35">
      <c r="B165" s="464" t="s">
        <v>71</v>
      </c>
      <c r="C165" s="465" t="s">
        <v>925</v>
      </c>
      <c r="D165" s="470">
        <f t="shared" si="113"/>
        <v>15625651.095503658</v>
      </c>
      <c r="E165" s="1290">
        <f>'Common Adj'!I70</f>
        <v>40502.183253000003</v>
      </c>
      <c r="F165" s="472"/>
      <c r="G165" s="472"/>
      <c r="H165" s="472"/>
      <c r="I165" s="472">
        <f>'Common Adj'!CC23</f>
        <v>-543136.50103020924</v>
      </c>
      <c r="J165" s="472"/>
      <c r="K165" s="472"/>
      <c r="L165" s="472"/>
      <c r="M165" s="472"/>
      <c r="N165" s="472"/>
      <c r="O165" s="472">
        <f>+'Common Adj'!GG31</f>
        <v>-21567.465738920851</v>
      </c>
      <c r="P165" s="472"/>
      <c r="Q165" s="472"/>
      <c r="R165" s="472"/>
      <c r="S165" s="472"/>
      <c r="T165" s="472"/>
      <c r="U165" s="472"/>
      <c r="V165" s="472"/>
      <c r="W165" s="472"/>
      <c r="X165" s="472"/>
      <c r="Y165" s="472"/>
      <c r="Z165" s="472"/>
      <c r="AA165" s="472"/>
      <c r="AB165" s="472"/>
      <c r="AC165" s="472">
        <f>'Common Adj'!PY20</f>
        <v>-2223.8142150000203</v>
      </c>
      <c r="AD165" s="472"/>
      <c r="AE165" s="472">
        <f>'Common Adj'!RJ29</f>
        <v>413361.70778505428</v>
      </c>
      <c r="AF165" s="472">
        <f>'Common Adj'!SB28</f>
        <v>53476.13459999999</v>
      </c>
      <c r="AG165" s="472">
        <f>'Common Adj'!$ST$24</f>
        <v>-1468367.0173525501</v>
      </c>
      <c r="AH165" s="472">
        <f>'Common Adj'!$ST$42</f>
        <v>-585671.35620000004</v>
      </c>
      <c r="AI165" s="472">
        <f>'Common Adj'!$ST$60</f>
        <v>-3191.6115</v>
      </c>
      <c r="AJ165" s="472">
        <f>'Common Adj'!$ST$78</f>
        <v>-1280851.40248065</v>
      </c>
      <c r="AK165" s="472"/>
      <c r="AL165" s="472">
        <f>'Common Adj'!UY26</f>
        <v>0</v>
      </c>
      <c r="AM165" s="471"/>
      <c r="AN165" s="472"/>
      <c r="AO165" s="472"/>
      <c r="AP165" s="472"/>
      <c r="AQ165" s="472">
        <f>'Gas Adj'!CC46</f>
        <v>530200.96671911981</v>
      </c>
      <c r="AR165" s="472">
        <f>'Gas Adj'!CU29</f>
        <v>175676.96352443949</v>
      </c>
      <c r="AS165" s="1290">
        <f>'Gas Adj'!DD29</f>
        <v>0</v>
      </c>
      <c r="AT165" s="481"/>
      <c r="AU165" s="472"/>
      <c r="AV165" s="472"/>
      <c r="AW165" s="471"/>
      <c r="AX165" s="471"/>
      <c r="AY165" s="472"/>
      <c r="AZ165" s="472"/>
      <c r="BB165" s="470">
        <f t="shared" si="114"/>
        <v>-2691791.2126357174</v>
      </c>
      <c r="BC165" s="470">
        <f t="shared" si="115"/>
        <v>12933859.88286794</v>
      </c>
      <c r="BD165" s="444"/>
      <c r="BE165" s="173"/>
      <c r="BF165" s="336"/>
    </row>
    <row r="166" spans="2:58" outlineLevel="1" x14ac:dyDescent="0.35">
      <c r="B166" s="329" t="s">
        <v>72</v>
      </c>
      <c r="C166" s="465" t="s">
        <v>925</v>
      </c>
      <c r="D166" s="470">
        <f t="shared" si="113"/>
        <v>-7286821.3381584706</v>
      </c>
      <c r="E166" s="1290"/>
      <c r="F166" s="472"/>
      <c r="G166" s="472"/>
      <c r="H166" s="472">
        <f>SUM('Common Adj'!BK17:BK19)</f>
        <v>348814.75209316192</v>
      </c>
      <c r="I166" s="472"/>
      <c r="J166" s="472"/>
      <c r="K166" s="472"/>
      <c r="L166" s="472"/>
      <c r="M166" s="472"/>
      <c r="N166" s="472"/>
      <c r="O166" s="472"/>
      <c r="P166" s="472"/>
      <c r="Q166" s="472"/>
      <c r="R166" s="472"/>
      <c r="S166" s="472"/>
      <c r="T166" s="472"/>
      <c r="U166" s="472"/>
      <c r="V166" s="472"/>
      <c r="W166" s="472"/>
      <c r="X166" s="472"/>
      <c r="Y166" s="472"/>
      <c r="Z166" s="472"/>
      <c r="AA166" s="472"/>
      <c r="AB166" s="472"/>
      <c r="AC166" s="472"/>
      <c r="AD166" s="472"/>
      <c r="AE166" s="472"/>
      <c r="AF166" s="472"/>
      <c r="AG166" s="472"/>
      <c r="AH166" s="472"/>
      <c r="AI166" s="472"/>
      <c r="AJ166" s="472"/>
      <c r="AK166" s="472"/>
      <c r="AL166" s="472"/>
      <c r="AM166" s="471"/>
      <c r="AN166" s="472"/>
      <c r="AO166" s="472"/>
      <c r="AP166" s="472"/>
      <c r="AQ166" s="472"/>
      <c r="AR166" s="472"/>
      <c r="AS166" s="1290"/>
      <c r="AT166" s="472"/>
      <c r="AU166" s="472"/>
      <c r="AV166" s="472"/>
      <c r="AW166" s="471"/>
      <c r="AX166" s="471"/>
      <c r="AY166" s="472"/>
      <c r="AZ166" s="472"/>
      <c r="BB166" s="470">
        <f t="shared" si="114"/>
        <v>348814.75209316192</v>
      </c>
      <c r="BC166" s="470">
        <f t="shared" si="115"/>
        <v>-6938006.5860653091</v>
      </c>
      <c r="BD166" s="444"/>
      <c r="BE166" s="173"/>
      <c r="BF166" s="336"/>
    </row>
    <row r="167" spans="2:58" outlineLevel="1" x14ac:dyDescent="0.35">
      <c r="B167" s="464" t="s">
        <v>2</v>
      </c>
      <c r="C167" s="465" t="s">
        <v>925</v>
      </c>
      <c r="D167" s="477">
        <f>SUM(D151:D166)</f>
        <v>418888267.46743488</v>
      </c>
      <c r="E167" s="1293">
        <f t="shared" ref="E167:AR167" si="116">SUM(E151:E166)</f>
        <v>49653.643953000006</v>
      </c>
      <c r="F167" s="479">
        <f t="shared" si="116"/>
        <v>0</v>
      </c>
      <c r="G167" s="479">
        <f t="shared" si="116"/>
        <v>0</v>
      </c>
      <c r="H167" s="479">
        <f t="shared" si="116"/>
        <v>348814.75209316192</v>
      </c>
      <c r="I167" s="479">
        <f t="shared" si="116"/>
        <v>-543136.50103020924</v>
      </c>
      <c r="J167" s="479">
        <f t="shared" si="116"/>
        <v>0</v>
      </c>
      <c r="K167" s="479">
        <f t="shared" si="116"/>
        <v>0</v>
      </c>
      <c r="L167" s="479">
        <f t="shared" si="116"/>
        <v>0</v>
      </c>
      <c r="M167" s="479">
        <f t="shared" si="116"/>
        <v>0</v>
      </c>
      <c r="N167" s="479">
        <f t="shared" si="116"/>
        <v>0</v>
      </c>
      <c r="O167" s="479">
        <f t="shared" si="116"/>
        <v>81134.752065464156</v>
      </c>
      <c r="P167" s="479">
        <f t="shared" si="116"/>
        <v>0</v>
      </c>
      <c r="Q167" s="479">
        <f t="shared" si="116"/>
        <v>0</v>
      </c>
      <c r="R167" s="479">
        <f t="shared" si="116"/>
        <v>0</v>
      </c>
      <c r="S167" s="479">
        <f t="shared" si="116"/>
        <v>0</v>
      </c>
      <c r="T167" s="479">
        <f t="shared" si="116"/>
        <v>0</v>
      </c>
      <c r="U167" s="479">
        <f t="shared" si="116"/>
        <v>0</v>
      </c>
      <c r="V167" s="479">
        <f t="shared" si="116"/>
        <v>0</v>
      </c>
      <c r="W167" s="479">
        <f t="shared" si="116"/>
        <v>0</v>
      </c>
      <c r="X167" s="479">
        <f t="shared" si="116"/>
        <v>0</v>
      </c>
      <c r="Y167" s="479">
        <f t="shared" si="116"/>
        <v>0</v>
      </c>
      <c r="Z167" s="479">
        <f t="shared" si="116"/>
        <v>0</v>
      </c>
      <c r="AA167" s="479">
        <f t="shared" si="116"/>
        <v>0</v>
      </c>
      <c r="AB167" s="479">
        <f t="shared" si="116"/>
        <v>0</v>
      </c>
      <c r="AC167" s="479">
        <f t="shared" si="116"/>
        <v>8365.7772850000765</v>
      </c>
      <c r="AD167" s="479">
        <f t="shared" ref="AD167" si="117">SUM(AD151:AD166)</f>
        <v>0</v>
      </c>
      <c r="AE167" s="478">
        <f>SUM(AE151:AE166)</f>
        <v>-1555027.3769056804</v>
      </c>
      <c r="AF167" s="478">
        <f>SUM(AF151:AF166)</f>
        <v>-201172.12539999996</v>
      </c>
      <c r="AG167" s="479">
        <f>SUM(AG151:AG166)</f>
        <v>5523856.8748024488</v>
      </c>
      <c r="AH167" s="479">
        <f t="shared" ref="AH167:AJ167" si="118">SUM(AH151:AH166)</f>
        <v>2203239.8638000004</v>
      </c>
      <c r="AI167" s="479">
        <f t="shared" si="118"/>
        <v>12006.538499999999</v>
      </c>
      <c r="AJ167" s="479">
        <f t="shared" si="118"/>
        <v>4818440.9902843507</v>
      </c>
      <c r="AK167" s="479">
        <f t="shared" ref="AK167:AL167" si="119">SUM(AK151:AK166)</f>
        <v>0</v>
      </c>
      <c r="AL167" s="479">
        <f t="shared" si="119"/>
        <v>0</v>
      </c>
      <c r="AM167" s="479">
        <f t="shared" ref="AM167:AN167" si="120">SUM(AM151:AM166)</f>
        <v>0</v>
      </c>
      <c r="AN167" s="479">
        <f t="shared" si="120"/>
        <v>0</v>
      </c>
      <c r="AO167" s="479">
        <f t="shared" ref="AO167" si="121">SUM(AO151:AO166)</f>
        <v>0</v>
      </c>
      <c r="AP167" s="479">
        <f t="shared" si="116"/>
        <v>0</v>
      </c>
      <c r="AQ167" s="479">
        <f t="shared" si="116"/>
        <v>-2037688.2856159601</v>
      </c>
      <c r="AR167" s="479">
        <f t="shared" si="116"/>
        <v>-660880.00563955808</v>
      </c>
      <c r="AS167" s="1293">
        <f t="shared" ref="AS167" si="122">SUM(AS151:AS166)</f>
        <v>0</v>
      </c>
      <c r="AT167" s="479"/>
      <c r="AU167" s="479"/>
      <c r="AV167" s="479"/>
      <c r="AW167" s="478"/>
      <c r="AX167" s="478"/>
      <c r="AY167" s="479"/>
      <c r="AZ167" s="479"/>
      <c r="BB167" s="477">
        <f>SUM(BB151:BB166)</f>
        <v>8047608.8981920183</v>
      </c>
      <c r="BC167" s="477">
        <f>SUM(BC151:BC166)</f>
        <v>426935876.36562687</v>
      </c>
      <c r="BD167" s="444"/>
      <c r="BE167" s="173"/>
      <c r="BF167" s="336"/>
    </row>
    <row r="168" spans="2:58" outlineLevel="1" x14ac:dyDescent="0.35">
      <c r="C168" s="465" t="s">
        <v>925</v>
      </c>
      <c r="D168" s="482"/>
      <c r="E168" s="1294"/>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c r="AE168" s="363"/>
      <c r="AF168" s="363"/>
      <c r="AG168" s="483"/>
      <c r="AH168" s="483"/>
      <c r="AI168" s="483"/>
      <c r="AJ168" s="483"/>
      <c r="AK168" s="483"/>
      <c r="AL168" s="483"/>
      <c r="AM168" s="483"/>
      <c r="AN168" s="483"/>
      <c r="AO168" s="483"/>
      <c r="AP168" s="483"/>
      <c r="AQ168" s="483"/>
      <c r="AR168" s="483"/>
      <c r="AS168" s="1294"/>
      <c r="AT168" s="483"/>
      <c r="AU168" s="483"/>
      <c r="AV168" s="483"/>
      <c r="AW168" s="363"/>
      <c r="AX168" s="363"/>
      <c r="AY168" s="483"/>
      <c r="AZ168" s="483"/>
      <c r="BB168" s="482"/>
      <c r="BC168" s="482"/>
      <c r="BD168" s="444"/>
      <c r="BE168" s="173"/>
      <c r="BF168" s="336"/>
    </row>
    <row r="169" spans="2:58" ht="15" outlineLevel="1" thickBot="1" x14ac:dyDescent="0.4">
      <c r="B169" s="329" t="s">
        <v>4</v>
      </c>
      <c r="C169" s="465" t="s">
        <v>925</v>
      </c>
      <c r="D169" s="484">
        <f>+D142-D167</f>
        <v>134725962.22028792</v>
      </c>
      <c r="E169" s="1295">
        <f t="shared" ref="E169:AR169" si="123">+E142-E167</f>
        <v>152365.35604699998</v>
      </c>
      <c r="F169" s="486">
        <f t="shared" si="123"/>
        <v>0</v>
      </c>
      <c r="G169" s="486">
        <f t="shared" si="123"/>
        <v>0</v>
      </c>
      <c r="H169" s="486">
        <f t="shared" si="123"/>
        <v>-348814.75209316192</v>
      </c>
      <c r="I169" s="486">
        <f t="shared" si="123"/>
        <v>543136.50103020924</v>
      </c>
      <c r="J169" s="486">
        <f t="shared" si="123"/>
        <v>0</v>
      </c>
      <c r="K169" s="486">
        <f t="shared" si="123"/>
        <v>0</v>
      </c>
      <c r="L169" s="486">
        <f t="shared" si="123"/>
        <v>0</v>
      </c>
      <c r="M169" s="486">
        <f t="shared" si="123"/>
        <v>0</v>
      </c>
      <c r="N169" s="486">
        <f t="shared" si="123"/>
        <v>0</v>
      </c>
      <c r="O169" s="486">
        <f t="shared" si="123"/>
        <v>-81134.752065464156</v>
      </c>
      <c r="P169" s="486">
        <f t="shared" si="123"/>
        <v>0</v>
      </c>
      <c r="Q169" s="486">
        <f t="shared" si="123"/>
        <v>0</v>
      </c>
      <c r="R169" s="486">
        <f t="shared" si="123"/>
        <v>0</v>
      </c>
      <c r="S169" s="486">
        <f t="shared" si="123"/>
        <v>0</v>
      </c>
      <c r="T169" s="486">
        <f t="shared" si="123"/>
        <v>0</v>
      </c>
      <c r="U169" s="486">
        <f t="shared" si="123"/>
        <v>0</v>
      </c>
      <c r="V169" s="486">
        <f t="shared" si="123"/>
        <v>0</v>
      </c>
      <c r="W169" s="486">
        <f t="shared" si="123"/>
        <v>0</v>
      </c>
      <c r="X169" s="486">
        <f t="shared" si="123"/>
        <v>0</v>
      </c>
      <c r="Y169" s="486">
        <f t="shared" si="123"/>
        <v>0</v>
      </c>
      <c r="Z169" s="486">
        <f t="shared" si="123"/>
        <v>0</v>
      </c>
      <c r="AA169" s="486">
        <f t="shared" si="123"/>
        <v>0</v>
      </c>
      <c r="AB169" s="486">
        <f t="shared" si="123"/>
        <v>0</v>
      </c>
      <c r="AC169" s="486">
        <f t="shared" si="123"/>
        <v>-8365.7772850000765</v>
      </c>
      <c r="AD169" s="486">
        <f t="shared" ref="AD169" si="124">+AD142-AD167</f>
        <v>0</v>
      </c>
      <c r="AE169" s="485">
        <f>+AE142-AE167</f>
        <v>1555027.3769056804</v>
      </c>
      <c r="AF169" s="485">
        <f>+AF142-AF167</f>
        <v>201172.12539999996</v>
      </c>
      <c r="AG169" s="486">
        <f>+AG142-AG167</f>
        <v>-5523856.8748024488</v>
      </c>
      <c r="AH169" s="486">
        <f t="shared" ref="AH169:AJ169" si="125">+AH142-AH167</f>
        <v>-2203239.8638000004</v>
      </c>
      <c r="AI169" s="486">
        <f t="shared" si="125"/>
        <v>-12006.538499999999</v>
      </c>
      <c r="AJ169" s="486">
        <f t="shared" si="125"/>
        <v>-4818440.9902843507</v>
      </c>
      <c r="AK169" s="486">
        <f t="shared" ref="AK169:AN169" si="126">+AK142-AK167</f>
        <v>0</v>
      </c>
      <c r="AL169" s="486">
        <f t="shared" si="126"/>
        <v>0</v>
      </c>
      <c r="AM169" s="486">
        <f t="shared" si="126"/>
        <v>0</v>
      </c>
      <c r="AN169" s="486">
        <f t="shared" si="126"/>
        <v>0</v>
      </c>
      <c r="AO169" s="486">
        <f t="shared" ref="AO169" si="127">+AO142-AO167</f>
        <v>0</v>
      </c>
      <c r="AP169" s="486">
        <f t="shared" si="123"/>
        <v>0</v>
      </c>
      <c r="AQ169" s="486">
        <f t="shared" si="123"/>
        <v>1994565.5414671653</v>
      </c>
      <c r="AR169" s="486">
        <f t="shared" si="123"/>
        <v>660880.00563955808</v>
      </c>
      <c r="AS169" s="1295">
        <f t="shared" ref="AS169" si="128">+AS142-AS167</f>
        <v>0</v>
      </c>
      <c r="AT169" s="486"/>
      <c r="AU169" s="486"/>
      <c r="AV169" s="486"/>
      <c r="AW169" s="485"/>
      <c r="AX169" s="485"/>
      <c r="AY169" s="486"/>
      <c r="AZ169" s="486"/>
      <c r="BB169" s="484">
        <f>+BB142-BB167</f>
        <v>-7888712.6423408128</v>
      </c>
      <c r="BC169" s="484">
        <f>+BC142-BC167</f>
        <v>126837249.57794708</v>
      </c>
      <c r="BD169" s="444"/>
      <c r="BE169" s="173"/>
      <c r="BF169" s="336"/>
    </row>
    <row r="170" spans="2:58" ht="12" customHeight="1" outlineLevel="1" thickTop="1" x14ac:dyDescent="0.35">
      <c r="B170"/>
      <c r="C170" s="465" t="s">
        <v>925</v>
      </c>
      <c r="D170" s="219"/>
      <c r="E170" s="129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t="s">
        <v>19</v>
      </c>
      <c r="AB170" s="116"/>
      <c r="AC170" s="116"/>
      <c r="AD170" s="116"/>
      <c r="AE170" s="416"/>
      <c r="AF170" s="416"/>
      <c r="AG170" s="116"/>
      <c r="AH170" s="116"/>
      <c r="AI170" s="116"/>
      <c r="AJ170" s="116"/>
      <c r="AK170" s="116"/>
      <c r="AL170" s="116"/>
      <c r="AM170" s="116"/>
      <c r="AN170" s="116"/>
      <c r="AO170" s="116"/>
      <c r="AP170" s="116"/>
      <c r="AQ170" s="116"/>
      <c r="AR170" s="116"/>
      <c r="AS170" s="1296"/>
      <c r="AT170" s="116"/>
      <c r="AU170" s="116"/>
      <c r="AV170" s="116"/>
      <c r="AW170" s="416"/>
      <c r="AX170" s="416"/>
      <c r="AY170" s="116"/>
      <c r="AZ170" s="116"/>
      <c r="BB170" s="219"/>
      <c r="BC170" s="219"/>
      <c r="BD170" s="444"/>
      <c r="BE170" s="173"/>
      <c r="BF170" s="336"/>
    </row>
    <row r="171" spans="2:58" outlineLevel="1" x14ac:dyDescent="0.35">
      <c r="B171" s="464" t="s">
        <v>124</v>
      </c>
      <c r="C171" s="465" t="s">
        <v>925</v>
      </c>
      <c r="D171" s="476">
        <f>D182</f>
        <v>2802449377.1695061</v>
      </c>
      <c r="E171" s="1292">
        <f>E182</f>
        <v>0</v>
      </c>
      <c r="F171" s="173">
        <f t="shared" ref="F171:AR171" si="129">F182</f>
        <v>0</v>
      </c>
      <c r="G171" s="173">
        <f t="shared" si="129"/>
        <v>0</v>
      </c>
      <c r="H171" s="173">
        <f t="shared" si="129"/>
        <v>0</v>
      </c>
      <c r="I171" s="173">
        <f t="shared" si="129"/>
        <v>0</v>
      </c>
      <c r="J171" s="173">
        <f t="shared" si="129"/>
        <v>0</v>
      </c>
      <c r="K171" s="173">
        <f t="shared" si="129"/>
        <v>0</v>
      </c>
      <c r="L171" s="173">
        <f t="shared" si="129"/>
        <v>0</v>
      </c>
      <c r="M171" s="173">
        <f t="shared" si="129"/>
        <v>0</v>
      </c>
      <c r="N171" s="173">
        <f t="shared" si="129"/>
        <v>0</v>
      </c>
      <c r="O171" s="173">
        <f t="shared" si="129"/>
        <v>0</v>
      </c>
      <c r="P171" s="173">
        <f t="shared" si="129"/>
        <v>0</v>
      </c>
      <c r="Q171" s="173">
        <f t="shared" si="129"/>
        <v>0</v>
      </c>
      <c r="R171" s="173">
        <f t="shared" si="129"/>
        <v>0</v>
      </c>
      <c r="S171" s="173">
        <f t="shared" si="129"/>
        <v>0</v>
      </c>
      <c r="T171" s="173">
        <f t="shared" si="129"/>
        <v>0</v>
      </c>
      <c r="U171" s="173">
        <f t="shared" si="129"/>
        <v>0</v>
      </c>
      <c r="V171" s="173">
        <f t="shared" si="129"/>
        <v>0</v>
      </c>
      <c r="W171" s="173">
        <f t="shared" si="129"/>
        <v>0</v>
      </c>
      <c r="X171" s="173">
        <f t="shared" si="129"/>
        <v>0</v>
      </c>
      <c r="Y171" s="173">
        <f t="shared" si="129"/>
        <v>0</v>
      </c>
      <c r="Z171" s="173">
        <f t="shared" si="129"/>
        <v>0</v>
      </c>
      <c r="AA171" s="173">
        <f t="shared" si="129"/>
        <v>0</v>
      </c>
      <c r="AB171" s="173">
        <f t="shared" si="129"/>
        <v>0</v>
      </c>
      <c r="AC171" s="173">
        <f t="shared" si="129"/>
        <v>0</v>
      </c>
      <c r="AD171" s="173">
        <f t="shared" ref="AD171" si="130">AD182</f>
        <v>0</v>
      </c>
      <c r="AE171" s="420">
        <f>AE182</f>
        <v>-172911836.65312946</v>
      </c>
      <c r="AF171" s="420">
        <f>AF182</f>
        <v>297280.34000000003</v>
      </c>
      <c r="AG171" s="173">
        <f>AG182</f>
        <v>126477500.64549002</v>
      </c>
      <c r="AH171" s="173">
        <f t="shared" ref="AH171:AJ171" si="131">AH182</f>
        <v>85035899.859999985</v>
      </c>
      <c r="AI171" s="173">
        <f t="shared" si="131"/>
        <v>13028953.590000002</v>
      </c>
      <c r="AJ171" s="173">
        <f t="shared" si="131"/>
        <v>54132411.425150014</v>
      </c>
      <c r="AK171" s="173">
        <f t="shared" ref="AK171:AN171" si="132">AK182</f>
        <v>0</v>
      </c>
      <c r="AL171" s="173">
        <f t="shared" si="132"/>
        <v>0</v>
      </c>
      <c r="AM171" s="173">
        <f t="shared" si="132"/>
        <v>0</v>
      </c>
      <c r="AN171" s="173">
        <f t="shared" si="132"/>
        <v>0</v>
      </c>
      <c r="AO171" s="173"/>
      <c r="AP171" s="173">
        <f t="shared" si="129"/>
        <v>0</v>
      </c>
      <c r="AQ171" s="173">
        <f t="shared" si="129"/>
        <v>-8672507.3526021261</v>
      </c>
      <c r="AR171" s="173">
        <f t="shared" si="129"/>
        <v>953145.69718474289</v>
      </c>
      <c r="AS171" s="1292">
        <f t="shared" ref="AS171" si="133">AS182</f>
        <v>0</v>
      </c>
      <c r="AT171" s="173"/>
      <c r="AU171" s="173"/>
      <c r="AV171" s="173"/>
      <c r="AW171" s="420"/>
      <c r="AX171" s="420"/>
      <c r="AY171" s="173"/>
      <c r="AZ171" s="173"/>
      <c r="BB171" s="476">
        <f>BB182</f>
        <v>98340847.552093089</v>
      </c>
      <c r="BC171" s="476">
        <f>BC182</f>
        <v>2900790224.7215991</v>
      </c>
      <c r="BD171" s="444"/>
      <c r="BE171" s="173"/>
      <c r="BF171" s="336"/>
    </row>
    <row r="172" spans="2:58" outlineLevel="1" x14ac:dyDescent="0.35">
      <c r="C172" s="465" t="s">
        <v>925</v>
      </c>
      <c r="D172" s="466"/>
      <c r="E172" s="1279"/>
      <c r="AE172" s="341"/>
      <c r="AF172" s="341"/>
      <c r="AM172" s="487"/>
      <c r="AS172" s="1279"/>
      <c r="AW172" s="341"/>
      <c r="AX172" s="341"/>
      <c r="BB172" s="466"/>
      <c r="BC172" s="466"/>
      <c r="BD172" s="444"/>
      <c r="BE172" s="173"/>
      <c r="BF172" s="336"/>
    </row>
    <row r="173" spans="2:58" outlineLevel="1" x14ac:dyDescent="0.35">
      <c r="B173" s="464" t="s">
        <v>125</v>
      </c>
      <c r="C173" s="465" t="s">
        <v>925</v>
      </c>
      <c r="D173" s="488">
        <f>+D169/D171</f>
        <v>4.8074360706690841E-2</v>
      </c>
      <c r="E173" s="1290"/>
      <c r="F173" s="472"/>
      <c r="G173" s="472"/>
      <c r="H173" s="472"/>
      <c r="I173" s="472"/>
      <c r="J173" s="472"/>
      <c r="K173" s="472"/>
      <c r="L173" s="472"/>
      <c r="M173" s="472"/>
      <c r="N173" s="472"/>
      <c r="O173" s="472"/>
      <c r="P173" s="472"/>
      <c r="Q173" s="472"/>
      <c r="R173" s="472"/>
      <c r="S173" s="472"/>
      <c r="T173" s="472"/>
      <c r="U173" s="472"/>
      <c r="V173" s="472"/>
      <c r="W173" s="472"/>
      <c r="X173" s="472"/>
      <c r="Y173" s="472"/>
      <c r="Z173" s="472"/>
      <c r="AA173" s="472"/>
      <c r="AB173" s="472"/>
      <c r="AC173" s="472"/>
      <c r="AD173" s="472"/>
      <c r="AE173" s="471"/>
      <c r="AF173" s="471"/>
      <c r="AG173" s="472"/>
      <c r="AH173" s="472"/>
      <c r="AI173" s="472"/>
      <c r="AJ173" s="472"/>
      <c r="AK173" s="472"/>
      <c r="AL173" s="472"/>
      <c r="AM173" s="489"/>
      <c r="AN173" s="472"/>
      <c r="AO173" s="472"/>
      <c r="AP173" s="472"/>
      <c r="AQ173" s="472"/>
      <c r="AR173" s="472"/>
      <c r="AS173" s="1290"/>
      <c r="AT173" s="472"/>
      <c r="AU173" s="472"/>
      <c r="AV173" s="472"/>
      <c r="AW173" s="471"/>
      <c r="AX173" s="471"/>
      <c r="AY173" s="472"/>
      <c r="AZ173" s="472"/>
      <c r="BB173" s="470"/>
      <c r="BC173" s="488">
        <f>+BC169/BC171</f>
        <v>4.372506791321671E-2</v>
      </c>
      <c r="BD173" s="444"/>
      <c r="BE173" s="173"/>
      <c r="BF173" s="336"/>
    </row>
    <row r="174" spans="2:58" outlineLevel="1" x14ac:dyDescent="0.35">
      <c r="C174" s="465" t="s">
        <v>925</v>
      </c>
      <c r="D174" s="470"/>
      <c r="E174" s="1290"/>
      <c r="F174" s="472"/>
      <c r="G174" s="472"/>
      <c r="H174" s="472"/>
      <c r="I174" s="472"/>
      <c r="J174" s="472"/>
      <c r="K174" s="472"/>
      <c r="L174" s="472"/>
      <c r="M174" s="472"/>
      <c r="N174" s="472"/>
      <c r="O174" s="472"/>
      <c r="P174" s="472"/>
      <c r="Q174" s="472"/>
      <c r="R174" s="472"/>
      <c r="S174" s="472"/>
      <c r="T174" s="472"/>
      <c r="U174" s="472"/>
      <c r="V174" s="472"/>
      <c r="W174" s="472"/>
      <c r="X174" s="472"/>
      <c r="Y174" s="472"/>
      <c r="Z174" s="472"/>
      <c r="AA174" s="472"/>
      <c r="AB174" s="472"/>
      <c r="AC174" s="472"/>
      <c r="AD174" s="472"/>
      <c r="AE174" s="471"/>
      <c r="AF174" s="471"/>
      <c r="AG174" s="472"/>
      <c r="AH174" s="472"/>
      <c r="AI174" s="472"/>
      <c r="AJ174" s="472"/>
      <c r="AK174" s="472"/>
      <c r="AL174" s="472"/>
      <c r="AM174" s="472"/>
      <c r="AN174" s="472"/>
      <c r="AO174" s="472"/>
      <c r="AP174" s="472"/>
      <c r="AQ174" s="472"/>
      <c r="AR174" s="472"/>
      <c r="AS174" s="1290"/>
      <c r="AT174" s="472"/>
      <c r="AU174" s="472"/>
      <c r="AV174" s="472"/>
      <c r="AW174" s="471"/>
      <c r="AX174" s="471"/>
      <c r="AY174" s="472"/>
      <c r="AZ174" s="472"/>
      <c r="BB174" s="470"/>
      <c r="BC174" s="470"/>
      <c r="BD174" s="444"/>
      <c r="BE174" s="173"/>
      <c r="BF174" s="336"/>
    </row>
    <row r="175" spans="2:58" outlineLevel="1" x14ac:dyDescent="0.35">
      <c r="B175" s="329" t="s">
        <v>126</v>
      </c>
      <c r="C175" s="465" t="s">
        <v>925</v>
      </c>
      <c r="D175" s="470"/>
      <c r="E175" s="1290"/>
      <c r="F175" s="472"/>
      <c r="G175" s="472"/>
      <c r="H175" s="472"/>
      <c r="I175" s="472"/>
      <c r="J175" s="472"/>
      <c r="K175" s="472"/>
      <c r="L175" s="472"/>
      <c r="M175" s="472"/>
      <c r="N175" s="472"/>
      <c r="O175" s="472"/>
      <c r="P175" s="472"/>
      <c r="Q175" s="472"/>
      <c r="R175" s="472"/>
      <c r="S175" s="472"/>
      <c r="T175" s="472"/>
      <c r="U175" s="472"/>
      <c r="V175" s="472"/>
      <c r="W175" s="472"/>
      <c r="X175" s="472"/>
      <c r="Y175" s="472"/>
      <c r="Z175" s="472"/>
      <c r="AA175" s="472"/>
      <c r="AB175" s="472"/>
      <c r="AC175" s="472"/>
      <c r="AD175" s="472"/>
      <c r="AE175" s="471"/>
      <c r="AF175" s="471"/>
      <c r="AG175" s="472"/>
      <c r="AH175" s="472"/>
      <c r="AI175" s="472"/>
      <c r="AJ175" s="472"/>
      <c r="AK175" s="472"/>
      <c r="AL175" s="472"/>
      <c r="AM175" s="472"/>
      <c r="AN175" s="472"/>
      <c r="AO175" s="472"/>
      <c r="AP175" s="472"/>
      <c r="AQ175" s="472"/>
      <c r="AR175" s="472"/>
      <c r="AS175" s="1290"/>
      <c r="AT175" s="472"/>
      <c r="AU175" s="472"/>
      <c r="AV175" s="472"/>
      <c r="AW175" s="471"/>
      <c r="AX175" s="471"/>
      <c r="AY175" s="472"/>
      <c r="AZ175" s="472"/>
      <c r="BB175" s="470"/>
      <c r="BC175" s="470"/>
      <c r="BD175" s="444"/>
      <c r="BE175" s="173"/>
      <c r="BF175" s="336"/>
    </row>
    <row r="176" spans="2:58" outlineLevel="1" x14ac:dyDescent="0.35">
      <c r="B176" s="490" t="s">
        <v>20</v>
      </c>
      <c r="C176" s="465" t="s">
        <v>925</v>
      </c>
      <c r="D176" s="476">
        <f t="shared" ref="D176:D181" si="134">+BC115</f>
        <v>5428282396.9336042</v>
      </c>
      <c r="E176" s="1292"/>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f>'Common Adj'!QR17</f>
        <v>-24880223.598138332</v>
      </c>
      <c r="AE176" s="173"/>
      <c r="AF176" s="173"/>
      <c r="AG176" s="173">
        <f>'Common Adj'!$ST$28</f>
        <v>135484651.20414501</v>
      </c>
      <c r="AH176" s="173">
        <f>'Common Adj'!$ST$46</f>
        <v>89119728.279999986</v>
      </c>
      <c r="AI176" s="173">
        <f>'Common Adj'!$ST$64</f>
        <v>13145865.390000001</v>
      </c>
      <c r="AJ176" s="173">
        <f>'Common Adj'!$ST$82</f>
        <v>62546234.740635008</v>
      </c>
      <c r="AK176" s="173"/>
      <c r="AL176" s="173"/>
      <c r="AM176" s="173"/>
      <c r="AN176" s="173">
        <f>'Common Adj'!VR20</f>
        <v>0</v>
      </c>
      <c r="AO176" s="173"/>
      <c r="AP176" s="173"/>
      <c r="AQ176" s="173"/>
      <c r="AR176" s="173">
        <f>'Gas Adj'!CU18</f>
        <v>0</v>
      </c>
      <c r="AS176" s="1292">
        <f>'Gas Adj'!DD18</f>
        <v>0</v>
      </c>
      <c r="AT176" s="173"/>
      <c r="AU176" s="173"/>
      <c r="AV176" s="173"/>
      <c r="AW176" s="420"/>
      <c r="AX176" s="420"/>
      <c r="AY176" s="173"/>
      <c r="AZ176" s="173"/>
      <c r="BB176" s="476">
        <f t="shared" ref="BB176:BB181" si="135">SUM(E176:AZ176)</f>
        <v>275416256.01664162</v>
      </c>
      <c r="BC176" s="476">
        <f t="shared" ref="BC176:BC181" si="136">+BB176+BC115</f>
        <v>5703698652.9502459</v>
      </c>
      <c r="BD176" s="444"/>
      <c r="BE176" s="173"/>
      <c r="BF176" s="336"/>
    </row>
    <row r="177" spans="2:60" outlineLevel="1" x14ac:dyDescent="0.35">
      <c r="B177" s="490" t="s">
        <v>21</v>
      </c>
      <c r="C177" s="465" t="s">
        <v>925</v>
      </c>
      <c r="D177" s="470">
        <f t="shared" si="134"/>
        <v>-2195356802.5214171</v>
      </c>
      <c r="E177" s="1290"/>
      <c r="F177" s="472"/>
      <c r="G177" s="472"/>
      <c r="H177" s="472"/>
      <c r="I177" s="472"/>
      <c r="J177" s="472"/>
      <c r="K177" s="472"/>
      <c r="L177" s="472"/>
      <c r="M177" s="472"/>
      <c r="N177" s="472"/>
      <c r="O177" s="472"/>
      <c r="P177" s="472"/>
      <c r="Q177" s="472"/>
      <c r="R177" s="472"/>
      <c r="S177" s="472"/>
      <c r="T177" s="472"/>
      <c r="U177" s="472"/>
      <c r="V177" s="472"/>
      <c r="W177" s="472"/>
      <c r="X177" s="472"/>
      <c r="Y177" s="472"/>
      <c r="Z177" s="472"/>
      <c r="AA177" s="472"/>
      <c r="AB177" s="472"/>
      <c r="AC177" s="472"/>
      <c r="AD177" s="472">
        <f>'Common Adj'!QR18</f>
        <v>24880223.598138332</v>
      </c>
      <c r="AE177" s="472">
        <f>'Common Adj'!RJ34</f>
        <v>-192199558.02446508</v>
      </c>
      <c r="AF177" s="472">
        <f>'Common Adj'!SB33</f>
        <v>297280.34000000003</v>
      </c>
      <c r="AG177" s="472">
        <f>'Common Adj'!$ST$29</f>
        <v>-7603494.9489650009</v>
      </c>
      <c r="AH177" s="472">
        <f>'Common Adj'!$ST$47</f>
        <v>-3192662.92</v>
      </c>
      <c r="AI177" s="472">
        <f>'Common Adj'!$ST$65</f>
        <v>-15815.929999999998</v>
      </c>
      <c r="AJ177" s="472">
        <f>'Common Adj'!$ST$83</f>
        <v>-6479803.2025349988</v>
      </c>
      <c r="AK177" s="472"/>
      <c r="AL177" s="472"/>
      <c r="AM177" s="481"/>
      <c r="AN177" s="472"/>
      <c r="AO177" s="472"/>
      <c r="AP177" s="472"/>
      <c r="AQ177" s="472"/>
      <c r="AR177" s="472">
        <f>'Gas Adj'!CU19+'Gas Adj'!CU20</f>
        <v>836556.96916399756</v>
      </c>
      <c r="AS177" s="1290">
        <f>'Gas Adj'!DD19+'Gas Adj'!DD20</f>
        <v>0</v>
      </c>
      <c r="AT177" s="481"/>
      <c r="AU177" s="472"/>
      <c r="AV177" s="472"/>
      <c r="AW177" s="471"/>
      <c r="AX177" s="471"/>
      <c r="AY177" s="472"/>
      <c r="AZ177" s="472"/>
      <c r="BB177" s="470">
        <f t="shared" si="135"/>
        <v>-183477274.11866277</v>
      </c>
      <c r="BC177" s="470">
        <f t="shared" si="136"/>
        <v>-2378834076.64008</v>
      </c>
      <c r="BD177" s="444"/>
      <c r="BE177" s="173"/>
      <c r="BF177" s="336"/>
    </row>
    <row r="178" spans="2:60" outlineLevel="1" x14ac:dyDescent="0.35">
      <c r="B178" s="329" t="s">
        <v>127</v>
      </c>
      <c r="C178" s="465" t="s">
        <v>925</v>
      </c>
      <c r="D178" s="470">
        <f t="shared" si="134"/>
        <v>27491696.96823791</v>
      </c>
      <c r="E178" s="1290"/>
      <c r="F178" s="472"/>
      <c r="G178" s="472"/>
      <c r="H178" s="472"/>
      <c r="I178" s="472"/>
      <c r="J178" s="472"/>
      <c r="K178" s="472"/>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f>'Common Adj'!SB34</f>
        <v>0</v>
      </c>
      <c r="AG178" s="472"/>
      <c r="AH178" s="472"/>
      <c r="AI178" s="472"/>
      <c r="AJ178" s="472"/>
      <c r="AK178" s="472"/>
      <c r="AL178" s="472">
        <f>'Common Adj'!UY17</f>
        <v>0</v>
      </c>
      <c r="AM178" s="481"/>
      <c r="AN178" s="472"/>
      <c r="AO178" s="472"/>
      <c r="AP178" s="472"/>
      <c r="AQ178" s="472">
        <f>'Gas Adj'!CC25</f>
        <v>-10489888.836809613</v>
      </c>
      <c r="AR178" s="472"/>
      <c r="AS178" s="1290"/>
      <c r="AT178" s="481"/>
      <c r="AU178" s="472"/>
      <c r="AV178" s="472"/>
      <c r="AW178" s="471"/>
      <c r="AX178" s="471"/>
      <c r="AY178" s="472"/>
      <c r="AZ178" s="472"/>
      <c r="BB178" s="470">
        <f t="shared" si="135"/>
        <v>-10489888.836809613</v>
      </c>
      <c r="BC178" s="470">
        <f t="shared" si="136"/>
        <v>17001808.131428298</v>
      </c>
      <c r="BD178" s="444"/>
      <c r="BE178" s="173"/>
      <c r="BF178" s="336"/>
    </row>
    <row r="179" spans="2:60" outlineLevel="1" x14ac:dyDescent="0.35">
      <c r="B179" s="329" t="s">
        <v>128</v>
      </c>
      <c r="C179" s="465" t="s">
        <v>925</v>
      </c>
      <c r="D179" s="470">
        <f t="shared" si="134"/>
        <v>-575795383.92351389</v>
      </c>
      <c r="E179" s="1290"/>
      <c r="F179" s="472"/>
      <c r="G179" s="472"/>
      <c r="H179" s="472">
        <f>+'Common Adj'!BK24</f>
        <v>0</v>
      </c>
      <c r="I179" s="472"/>
      <c r="J179" s="472"/>
      <c r="K179" s="472"/>
      <c r="L179" s="472"/>
      <c r="M179" s="472"/>
      <c r="N179" s="472"/>
      <c r="O179" s="472"/>
      <c r="P179" s="472"/>
      <c r="Q179" s="472"/>
      <c r="R179" s="472"/>
      <c r="S179" s="472"/>
      <c r="T179" s="472"/>
      <c r="U179" s="472"/>
      <c r="V179" s="472"/>
      <c r="W179" s="472"/>
      <c r="X179" s="472"/>
      <c r="Y179" s="472"/>
      <c r="Z179" s="472"/>
      <c r="AA179" s="472"/>
      <c r="AB179" s="472"/>
      <c r="AC179" s="472"/>
      <c r="AD179" s="472"/>
      <c r="AE179" s="472">
        <f>'Common Adj'!RJ35</f>
        <v>19287721.371335626</v>
      </c>
      <c r="AF179" s="472"/>
      <c r="AG179" s="472">
        <f>'Common Adj'!$ST$30</f>
        <v>-1403655.6096900003</v>
      </c>
      <c r="AH179" s="472">
        <f>'Common Adj'!$ST$48</f>
        <v>-891165.5</v>
      </c>
      <c r="AI179" s="472">
        <f>'Common Adj'!$ST$66</f>
        <v>-101095.87</v>
      </c>
      <c r="AJ179" s="472">
        <f>'Common Adj'!$ST$84</f>
        <v>-1934020.11295</v>
      </c>
      <c r="AK179" s="472"/>
      <c r="AL179" s="472">
        <f>'Common Adj'!UY18</f>
        <v>0</v>
      </c>
      <c r="AM179" s="347"/>
      <c r="AN179" s="472">
        <f>'Common Adj'!VR22</f>
        <v>0</v>
      </c>
      <c r="AO179" s="472"/>
      <c r="AP179" s="472"/>
      <c r="AQ179" s="472">
        <f>'Gas Adj'!CC26</f>
        <v>1817381.4842074867</v>
      </c>
      <c r="AR179" s="472">
        <f>'Gas Adj'!CU21</f>
        <v>116588.72802074533</v>
      </c>
      <c r="AS179" s="1290">
        <f>'Gas Adj'!DD21</f>
        <v>0</v>
      </c>
      <c r="AT179" s="265"/>
      <c r="AU179" s="472"/>
      <c r="AV179" s="472"/>
      <c r="AW179" s="471"/>
      <c r="AX179" s="471"/>
      <c r="AY179" s="472"/>
      <c r="AZ179" s="472"/>
      <c r="BB179" s="470">
        <f t="shared" si="135"/>
        <v>16891754.490923855</v>
      </c>
      <c r="BC179" s="470">
        <f t="shared" si="136"/>
        <v>-558903629.43259001</v>
      </c>
      <c r="BD179" s="444"/>
      <c r="BE179" s="173"/>
      <c r="BF179" s="336"/>
    </row>
    <row r="180" spans="2:60" outlineLevel="1" x14ac:dyDescent="0.35">
      <c r="B180" s="329" t="s">
        <v>129</v>
      </c>
      <c r="C180" s="465" t="s">
        <v>925</v>
      </c>
      <c r="D180" s="491">
        <f t="shared" si="134"/>
        <v>119028167.29199991</v>
      </c>
      <c r="E180" s="1290"/>
      <c r="F180" s="472"/>
      <c r="G180" s="472"/>
      <c r="H180" s="472"/>
      <c r="I180" s="472"/>
      <c r="J180" s="472"/>
      <c r="K180" s="472"/>
      <c r="L180" s="472"/>
      <c r="M180" s="472"/>
      <c r="N180" s="472"/>
      <c r="O180" s="472"/>
      <c r="P180" s="472"/>
      <c r="Q180" s="472"/>
      <c r="R180" s="472"/>
      <c r="S180" s="472"/>
      <c r="T180" s="472"/>
      <c r="U180" s="472"/>
      <c r="V180" s="472"/>
      <c r="W180" s="472"/>
      <c r="X180" s="472"/>
      <c r="Y180" s="472"/>
      <c r="Z180" s="472"/>
      <c r="AA180" s="472"/>
      <c r="AB180" s="472"/>
      <c r="AC180" s="472"/>
      <c r="AD180" s="472"/>
      <c r="AE180" s="472"/>
      <c r="AF180" s="472"/>
      <c r="AG180" s="472"/>
      <c r="AH180" s="472"/>
      <c r="AI180" s="472"/>
      <c r="AJ180" s="472"/>
      <c r="AK180" s="472"/>
      <c r="AL180" s="472"/>
      <c r="AM180" s="481"/>
      <c r="AN180" s="472"/>
      <c r="AO180" s="472"/>
      <c r="AP180" s="472"/>
      <c r="AQ180" s="472"/>
      <c r="AR180" s="472"/>
      <c r="AS180" s="1290"/>
      <c r="AT180" s="472"/>
      <c r="AU180" s="472"/>
      <c r="AV180" s="472"/>
      <c r="AW180" s="472"/>
      <c r="AX180" s="472"/>
      <c r="AY180" s="472"/>
      <c r="AZ180" s="472"/>
      <c r="BB180" s="470">
        <f t="shared" si="135"/>
        <v>0</v>
      </c>
      <c r="BC180" s="470">
        <f t="shared" si="136"/>
        <v>119028167.29199991</v>
      </c>
      <c r="BD180" s="444"/>
      <c r="BE180" s="173"/>
      <c r="BF180" s="336"/>
      <c r="BH180" s="329">
        <f>175+61</f>
        <v>236</v>
      </c>
    </row>
    <row r="181" spans="2:60" outlineLevel="1" x14ac:dyDescent="0.35">
      <c r="B181" s="329" t="s">
        <v>130</v>
      </c>
      <c r="C181" s="465" t="s">
        <v>925</v>
      </c>
      <c r="D181" s="470">
        <f t="shared" si="134"/>
        <v>-1200697.579405</v>
      </c>
      <c r="E181" s="1290"/>
      <c r="F181" s="472"/>
      <c r="G181" s="472"/>
      <c r="H181" s="472"/>
      <c r="I181" s="472"/>
      <c r="J181" s="472"/>
      <c r="K181" s="472"/>
      <c r="L181" s="472"/>
      <c r="M181" s="472"/>
      <c r="N181" s="472"/>
      <c r="O181" s="472"/>
      <c r="P181" s="472"/>
      <c r="Q181" s="472"/>
      <c r="R181" s="472"/>
      <c r="S181" s="472"/>
      <c r="T181" s="472"/>
      <c r="U181" s="472"/>
      <c r="V181" s="472"/>
      <c r="W181" s="472"/>
      <c r="X181" s="472"/>
      <c r="Y181" s="472"/>
      <c r="Z181" s="472"/>
      <c r="AA181" s="472"/>
      <c r="AB181" s="472"/>
      <c r="AC181" s="472"/>
      <c r="AD181" s="472"/>
      <c r="AE181" s="472"/>
      <c r="AF181" s="472"/>
      <c r="AG181" s="472"/>
      <c r="AH181" s="472"/>
      <c r="AI181" s="472"/>
      <c r="AJ181" s="472"/>
      <c r="AK181" s="472"/>
      <c r="AL181" s="472"/>
      <c r="AM181" s="481"/>
      <c r="AN181" s="472"/>
      <c r="AO181" s="472"/>
      <c r="AP181" s="472"/>
      <c r="AQ181" s="472"/>
      <c r="AR181" s="472"/>
      <c r="AS181" s="1290"/>
      <c r="AT181" s="472"/>
      <c r="AU181" s="472"/>
      <c r="AV181" s="472"/>
      <c r="AW181" s="472"/>
      <c r="AX181" s="472"/>
      <c r="AY181" s="472"/>
      <c r="AZ181" s="472"/>
      <c r="BB181" s="470">
        <f t="shared" si="135"/>
        <v>0</v>
      </c>
      <c r="BC181" s="470">
        <f t="shared" si="136"/>
        <v>-1200697.579405</v>
      </c>
      <c r="BD181" s="444"/>
      <c r="BE181" s="173"/>
      <c r="BF181" s="336"/>
    </row>
    <row r="182" spans="2:60" ht="15" outlineLevel="1" thickBot="1" x14ac:dyDescent="0.4">
      <c r="B182" s="329" t="s">
        <v>22</v>
      </c>
      <c r="C182" s="465" t="s">
        <v>925</v>
      </c>
      <c r="D182" s="493">
        <f>SUM(D176:D181)</f>
        <v>2802449377.1695061</v>
      </c>
      <c r="E182" s="1301">
        <f>SUM(E176:E181)</f>
        <v>0</v>
      </c>
      <c r="F182" s="494">
        <f t="shared" ref="F182:AR182" si="137">SUM(F176:F181)</f>
        <v>0</v>
      </c>
      <c r="G182" s="494">
        <f t="shared" si="137"/>
        <v>0</v>
      </c>
      <c r="H182" s="494">
        <f t="shared" si="137"/>
        <v>0</v>
      </c>
      <c r="I182" s="494">
        <f t="shared" si="137"/>
        <v>0</v>
      </c>
      <c r="J182" s="494">
        <f t="shared" si="137"/>
        <v>0</v>
      </c>
      <c r="K182" s="494">
        <f t="shared" si="137"/>
        <v>0</v>
      </c>
      <c r="L182" s="494">
        <f t="shared" si="137"/>
        <v>0</v>
      </c>
      <c r="M182" s="494">
        <f t="shared" si="137"/>
        <v>0</v>
      </c>
      <c r="N182" s="494">
        <f t="shared" si="137"/>
        <v>0</v>
      </c>
      <c r="O182" s="494">
        <f t="shared" si="137"/>
        <v>0</v>
      </c>
      <c r="P182" s="494">
        <f t="shared" si="137"/>
        <v>0</v>
      </c>
      <c r="Q182" s="494">
        <f t="shared" si="137"/>
        <v>0</v>
      </c>
      <c r="R182" s="494">
        <f t="shared" si="137"/>
        <v>0</v>
      </c>
      <c r="S182" s="494">
        <f t="shared" si="137"/>
        <v>0</v>
      </c>
      <c r="T182" s="494">
        <f t="shared" si="137"/>
        <v>0</v>
      </c>
      <c r="U182" s="494">
        <f t="shared" si="137"/>
        <v>0</v>
      </c>
      <c r="V182" s="494">
        <f t="shared" si="137"/>
        <v>0</v>
      </c>
      <c r="W182" s="494">
        <f t="shared" si="137"/>
        <v>0</v>
      </c>
      <c r="X182" s="494">
        <f t="shared" si="137"/>
        <v>0</v>
      </c>
      <c r="Y182" s="494">
        <f t="shared" si="137"/>
        <v>0</v>
      </c>
      <c r="Z182" s="494">
        <f t="shared" si="137"/>
        <v>0</v>
      </c>
      <c r="AA182" s="494">
        <f t="shared" si="137"/>
        <v>0</v>
      </c>
      <c r="AB182" s="494">
        <f t="shared" si="137"/>
        <v>0</v>
      </c>
      <c r="AC182" s="494">
        <f t="shared" si="137"/>
        <v>0</v>
      </c>
      <c r="AD182" s="494">
        <f t="shared" ref="AD182" si="138">SUM(AD176:AD181)</f>
        <v>0</v>
      </c>
      <c r="AE182" s="494">
        <f>SUM(AE176:AE181)</f>
        <v>-172911836.65312946</v>
      </c>
      <c r="AF182" s="494">
        <f>SUM(AF176:AF181)</f>
        <v>297280.34000000003</v>
      </c>
      <c r="AG182" s="494">
        <f>SUM(AG176:AG181)</f>
        <v>126477500.64549002</v>
      </c>
      <c r="AH182" s="494">
        <f t="shared" ref="AH182:AJ182" si="139">SUM(AH176:AH181)</f>
        <v>85035899.859999985</v>
      </c>
      <c r="AI182" s="494">
        <f t="shared" si="139"/>
        <v>13028953.590000002</v>
      </c>
      <c r="AJ182" s="494">
        <f t="shared" si="139"/>
        <v>54132411.425150014</v>
      </c>
      <c r="AK182" s="494">
        <f t="shared" si="137"/>
        <v>0</v>
      </c>
      <c r="AL182" s="494">
        <f t="shared" si="137"/>
        <v>0</v>
      </c>
      <c r="AM182" s="494">
        <f t="shared" ref="AM182:AN182" si="140">SUM(AM176:AM181)</f>
        <v>0</v>
      </c>
      <c r="AN182" s="494">
        <f t="shared" si="140"/>
        <v>0</v>
      </c>
      <c r="AO182" s="494">
        <f t="shared" ref="AO182" si="141">SUM(AO176:AO181)</f>
        <v>0</v>
      </c>
      <c r="AP182" s="494">
        <f t="shared" si="137"/>
        <v>0</v>
      </c>
      <c r="AQ182" s="494">
        <f t="shared" si="137"/>
        <v>-8672507.3526021261</v>
      </c>
      <c r="AR182" s="494">
        <f t="shared" si="137"/>
        <v>953145.69718474289</v>
      </c>
      <c r="AS182" s="1301">
        <f t="shared" ref="AS182" si="142">SUM(AS176:AS181)</f>
        <v>0</v>
      </c>
      <c r="AT182" s="494"/>
      <c r="AU182" s="494"/>
      <c r="AV182" s="494"/>
      <c r="AW182" s="494"/>
      <c r="AX182" s="494"/>
      <c r="AY182" s="494"/>
      <c r="AZ182" s="494"/>
      <c r="BB182" s="493">
        <f>SUM(BB176:BB181)</f>
        <v>98340847.552093089</v>
      </c>
      <c r="BC182" s="493">
        <f>SUM(BC176:BC181)</f>
        <v>2900790224.7215991</v>
      </c>
      <c r="BD182" s="444"/>
      <c r="BE182" s="173"/>
      <c r="BF182" s="336"/>
    </row>
    <row r="183" spans="2:60" ht="15" outlineLevel="1" thickTop="1" x14ac:dyDescent="0.35">
      <c r="C183" s="465" t="s">
        <v>925</v>
      </c>
      <c r="D183" s="466"/>
      <c r="E183" s="1279"/>
      <c r="AS183" s="1279"/>
      <c r="BB183" s="466"/>
      <c r="BC183" s="466"/>
      <c r="BD183" s="444"/>
      <c r="BE183" s="173"/>
      <c r="BF183" s="336"/>
    </row>
    <row r="184" spans="2:60" outlineLevel="1" x14ac:dyDescent="0.35">
      <c r="B184" s="329" t="s">
        <v>29</v>
      </c>
      <c r="C184" s="465" t="s">
        <v>925</v>
      </c>
      <c r="D184" s="496">
        <f>+'Def, COC, ConvF DPK-7 '!C13</f>
        <v>7.3575000000000002E-2</v>
      </c>
      <c r="E184" s="1302">
        <f>+'Def, COC, ConvF DPK-7 '!C13</f>
        <v>7.3575000000000002E-2</v>
      </c>
      <c r="F184" s="497">
        <f>+'Def, COC, ConvF DPK-7 '!C13</f>
        <v>7.3575000000000002E-2</v>
      </c>
      <c r="G184" s="497">
        <f>+'Def, COC, ConvF DPK-7 '!C13</f>
        <v>7.3575000000000002E-2</v>
      </c>
      <c r="H184" s="497">
        <f>+'Def, COC, ConvF DPK-7 '!C13</f>
        <v>7.3575000000000002E-2</v>
      </c>
      <c r="I184" s="497">
        <f>+'Def, COC, ConvF DPK-7 '!C13</f>
        <v>7.3575000000000002E-2</v>
      </c>
      <c r="J184" s="497">
        <f>+'Def, COC, ConvF DPK-7 '!C13</f>
        <v>7.3575000000000002E-2</v>
      </c>
      <c r="K184" s="497">
        <f>+'Def, COC, ConvF DPK-7 '!C13</f>
        <v>7.3575000000000002E-2</v>
      </c>
      <c r="L184" s="497">
        <f>+'Def, COC, ConvF DPK-7 '!C13</f>
        <v>7.3575000000000002E-2</v>
      </c>
      <c r="M184" s="497">
        <f>+'Def, COC, ConvF DPK-7 '!C13</f>
        <v>7.3575000000000002E-2</v>
      </c>
      <c r="N184" s="497">
        <f>+'Def, COC, ConvF DPK-7 '!C13</f>
        <v>7.3575000000000002E-2</v>
      </c>
      <c r="O184" s="497">
        <f>+'Def, COC, ConvF DPK-7 '!C13</f>
        <v>7.3575000000000002E-2</v>
      </c>
      <c r="P184" s="497">
        <f>+'Def, COC, ConvF DPK-7 '!C13</f>
        <v>7.3575000000000002E-2</v>
      </c>
      <c r="Q184" s="497">
        <f>+'Def, COC, ConvF DPK-7 '!C13</f>
        <v>7.3575000000000002E-2</v>
      </c>
      <c r="R184" s="497">
        <f>+'Def, COC, ConvF DPK-7 '!C13</f>
        <v>7.3575000000000002E-2</v>
      </c>
      <c r="S184" s="497">
        <f>+'Def, COC, ConvF DPK-7 '!C13</f>
        <v>7.3575000000000002E-2</v>
      </c>
      <c r="T184" s="497">
        <f>+'Def, COC, ConvF DPK-7 '!C13</f>
        <v>7.3575000000000002E-2</v>
      </c>
      <c r="U184" s="497">
        <f>+'Def, COC, ConvF DPK-7 '!C13</f>
        <v>7.3575000000000002E-2</v>
      </c>
      <c r="V184" s="497">
        <f>+'Def, COC, ConvF DPK-7 '!C13</f>
        <v>7.3575000000000002E-2</v>
      </c>
      <c r="W184" s="497">
        <f>+'Def, COC, ConvF DPK-7 '!C13</f>
        <v>7.3575000000000002E-2</v>
      </c>
      <c r="X184" s="497">
        <f>+'Def, COC, ConvF DPK-7 '!C13</f>
        <v>7.3575000000000002E-2</v>
      </c>
      <c r="Y184" s="497">
        <f>+'Def, COC, ConvF DPK-7 '!C13</f>
        <v>7.3575000000000002E-2</v>
      </c>
      <c r="Z184" s="497">
        <f>+'Def, COC, ConvF DPK-7 '!C13</f>
        <v>7.3575000000000002E-2</v>
      </c>
      <c r="AA184" s="497">
        <f>+'Def, COC, ConvF DPK-7 '!C13</f>
        <v>7.3575000000000002E-2</v>
      </c>
      <c r="AB184" s="497">
        <f>+'Def, COC, ConvF DPK-7 '!C13</f>
        <v>7.3575000000000002E-2</v>
      </c>
      <c r="AC184" s="497">
        <f>+'Def, COC, ConvF DPK-7 '!C13</f>
        <v>7.3575000000000002E-2</v>
      </c>
      <c r="AD184" s="497">
        <f>+'Def, COC, ConvF DPK-7 '!C13</f>
        <v>7.3575000000000002E-2</v>
      </c>
      <c r="AE184" s="497">
        <f>+'Def, COC, ConvF DPK-7 '!C13</f>
        <v>7.3575000000000002E-2</v>
      </c>
      <c r="AF184" s="497">
        <f>+'Def, COC, ConvF DPK-7 '!C13</f>
        <v>7.3575000000000002E-2</v>
      </c>
      <c r="AG184" s="497">
        <f>+'Def, COC, ConvF DPK-7 '!$C$13</f>
        <v>7.3575000000000002E-2</v>
      </c>
      <c r="AH184" s="497">
        <f>+'Def, COC, ConvF DPK-7 '!$C$13</f>
        <v>7.3575000000000002E-2</v>
      </c>
      <c r="AI184" s="497">
        <f>+'Def, COC, ConvF DPK-7 '!$C$13</f>
        <v>7.3575000000000002E-2</v>
      </c>
      <c r="AJ184" s="497">
        <f>+'Def, COC, ConvF DPK-7 '!$C$13</f>
        <v>7.3575000000000002E-2</v>
      </c>
      <c r="AK184" s="497">
        <f>+'Def, COC, ConvF DPK-7 '!$C$13</f>
        <v>7.3575000000000002E-2</v>
      </c>
      <c r="AL184" s="497">
        <f>+'Def, COC, ConvF DPK-7 '!$C$13</f>
        <v>7.3575000000000002E-2</v>
      </c>
      <c r="AM184" s="497">
        <f>+'Def, COC, ConvF DPK-7 '!$C$13</f>
        <v>7.3575000000000002E-2</v>
      </c>
      <c r="AN184" s="497">
        <f>+'Def, COC, ConvF DPK-7 '!$C$13</f>
        <v>7.3575000000000002E-2</v>
      </c>
      <c r="AO184" s="497">
        <f>+'Def, COC, ConvF DPK-7 '!$C$13</f>
        <v>7.3575000000000002E-2</v>
      </c>
      <c r="AP184" s="497">
        <f>+'Def, COC, ConvF DPK-7 '!C13</f>
        <v>7.3575000000000002E-2</v>
      </c>
      <c r="AQ184" s="497">
        <f>+'Def, COC, ConvF DPK-7 '!C13</f>
        <v>7.3575000000000002E-2</v>
      </c>
      <c r="AR184" s="497">
        <f>+'Def, COC, ConvF DPK-7 '!C13</f>
        <v>7.3575000000000002E-2</v>
      </c>
      <c r="AS184" s="1302">
        <f>+AR184</f>
        <v>7.3575000000000002E-2</v>
      </c>
      <c r="AT184" s="497"/>
      <c r="AU184" s="497"/>
      <c r="AV184" s="497"/>
      <c r="AW184" s="497"/>
      <c r="AX184" s="497"/>
      <c r="AY184" s="497"/>
      <c r="AZ184" s="497"/>
      <c r="BB184" s="496">
        <f>+'Def, COC, ConvF DPK-7 '!C13</f>
        <v>7.3575000000000002E-2</v>
      </c>
      <c r="BC184" s="496">
        <f>+'Def, COC, ConvF DPK-7 '!C13</f>
        <v>7.3575000000000002E-2</v>
      </c>
      <c r="BD184" s="444"/>
      <c r="BE184" s="173"/>
      <c r="BF184" s="336"/>
    </row>
    <row r="185" spans="2:60" outlineLevel="1" x14ac:dyDescent="0.35">
      <c r="B185" s="329" t="s">
        <v>23</v>
      </c>
      <c r="C185" s="465" t="s">
        <v>925</v>
      </c>
      <c r="D185" s="466">
        <f>+'Def, COC, ConvF DPK-7 '!P20</f>
        <v>0.75421300000000002</v>
      </c>
      <c r="E185" s="1279">
        <f>+'Def, COC, ConvF DPK-7 '!P20</f>
        <v>0.75421300000000002</v>
      </c>
      <c r="F185" s="329">
        <f>+'Def, COC, ConvF DPK-7 '!P20</f>
        <v>0.75421300000000002</v>
      </c>
      <c r="G185" s="329">
        <f>+'Def, COC, ConvF DPK-7 '!P20</f>
        <v>0.75421300000000002</v>
      </c>
      <c r="H185" s="329">
        <f>+'Def, COC, ConvF DPK-7 '!P20</f>
        <v>0.75421300000000002</v>
      </c>
      <c r="I185" s="329">
        <f>+'Def, COC, ConvF DPK-7 '!P20</f>
        <v>0.75421300000000002</v>
      </c>
      <c r="J185" s="329">
        <f>+'Def, COC, ConvF DPK-7 '!P20</f>
        <v>0.75421300000000002</v>
      </c>
      <c r="K185" s="329">
        <f>+'Def, COC, ConvF DPK-7 '!P20</f>
        <v>0.75421300000000002</v>
      </c>
      <c r="L185" s="329">
        <f>+'Def, COC, ConvF DPK-7 '!P20</f>
        <v>0.75421300000000002</v>
      </c>
      <c r="M185" s="329">
        <f>+'Def, COC, ConvF DPK-7 '!P20</f>
        <v>0.75421300000000002</v>
      </c>
      <c r="N185" s="329">
        <f>+'Def, COC, ConvF DPK-7 '!P20</f>
        <v>0.75421300000000002</v>
      </c>
      <c r="O185" s="329">
        <f>+'Def, COC, ConvF DPK-7 '!P20</f>
        <v>0.75421300000000002</v>
      </c>
      <c r="P185" s="329">
        <f>+'Def, COC, ConvF DPK-7 '!P20</f>
        <v>0.75421300000000002</v>
      </c>
      <c r="Q185" s="329">
        <f>+'Def, COC, ConvF DPK-7 '!P20</f>
        <v>0.75421300000000002</v>
      </c>
      <c r="R185" s="329">
        <f>+'Def, COC, ConvF DPK-7 '!P20</f>
        <v>0.75421300000000002</v>
      </c>
      <c r="S185" s="329">
        <f>+'Def, COC, ConvF DPK-7 '!P20</f>
        <v>0.75421300000000002</v>
      </c>
      <c r="T185" s="329">
        <f>+'Def, COC, ConvF DPK-7 '!P20</f>
        <v>0.75421300000000002</v>
      </c>
      <c r="U185" s="329">
        <f>+'Def, COC, ConvF DPK-7 '!P20</f>
        <v>0.75421300000000002</v>
      </c>
      <c r="V185" s="329">
        <f>+'Def, COC, ConvF DPK-7 '!P20</f>
        <v>0.75421300000000002</v>
      </c>
      <c r="W185" s="329">
        <f>+'Def, COC, ConvF DPK-7 '!P20</f>
        <v>0.75421300000000002</v>
      </c>
      <c r="X185" s="329">
        <f>+'Def, COC, ConvF DPK-7 '!P20</f>
        <v>0.75421300000000002</v>
      </c>
      <c r="Y185" s="329">
        <f>+'Def, COC, ConvF DPK-7 '!P20</f>
        <v>0.75421300000000002</v>
      </c>
      <c r="Z185" s="329">
        <f>+'Def, COC, ConvF DPK-7 '!P20</f>
        <v>0.75421300000000002</v>
      </c>
      <c r="AA185" s="329">
        <f>+'Def, COC, ConvF DPK-7 '!P20</f>
        <v>0.75421300000000002</v>
      </c>
      <c r="AB185" s="329">
        <f>+'Def, COC, ConvF DPK-7 '!P20</f>
        <v>0.75421300000000002</v>
      </c>
      <c r="AC185" s="329">
        <f>+'Def, COC, ConvF DPK-7 '!P20</f>
        <v>0.75421300000000002</v>
      </c>
      <c r="AD185" s="329">
        <f>+'Def, COC, ConvF DPK-7 '!P20</f>
        <v>0.75421300000000002</v>
      </c>
      <c r="AE185" s="329">
        <f>+'Def, COC, ConvF DPK-7 '!P20</f>
        <v>0.75421300000000002</v>
      </c>
      <c r="AF185" s="329">
        <f>+'Def, COC, ConvF DPK-7 '!P20</f>
        <v>0.75421300000000002</v>
      </c>
      <c r="AG185" s="329">
        <f>+'Def, COC, ConvF DPK-7 '!$P$20</f>
        <v>0.75421300000000002</v>
      </c>
      <c r="AH185" s="329">
        <f>+'Def, COC, ConvF DPK-7 '!$P$20</f>
        <v>0.75421300000000002</v>
      </c>
      <c r="AI185" s="329">
        <f>+'Def, COC, ConvF DPK-7 '!$P$20</f>
        <v>0.75421300000000002</v>
      </c>
      <c r="AJ185" s="329">
        <f>+'Def, COC, ConvF DPK-7 '!$P$20</f>
        <v>0.75421300000000002</v>
      </c>
      <c r="AK185" s="329">
        <f>+'Def, COC, ConvF DPK-7 '!$P$20</f>
        <v>0.75421300000000002</v>
      </c>
      <c r="AL185" s="329">
        <f>+'Def, COC, ConvF DPK-7 '!$P$20</f>
        <v>0.75421300000000002</v>
      </c>
      <c r="AM185" s="329">
        <f>+'Def, COC, ConvF DPK-7 '!$P$20</f>
        <v>0.75421300000000002</v>
      </c>
      <c r="AN185" s="329">
        <f>+'Def, COC, ConvF DPK-7 '!$P$20</f>
        <v>0.75421300000000002</v>
      </c>
      <c r="AO185" s="329">
        <f>+'Def, COC, ConvF DPK-7 '!$P$20</f>
        <v>0.75421300000000002</v>
      </c>
      <c r="AP185" s="329">
        <f>+'Def, COC, ConvF DPK-7 '!P20</f>
        <v>0.75421300000000002</v>
      </c>
      <c r="AQ185" s="329">
        <f>+'Def, COC, ConvF DPK-7 '!P20</f>
        <v>0.75421300000000002</v>
      </c>
      <c r="AR185" s="329">
        <f>+'Def, COC, ConvF DPK-7 '!P20</f>
        <v>0.75421300000000002</v>
      </c>
      <c r="AS185" s="1279">
        <f>+AR185</f>
        <v>0.75421300000000002</v>
      </c>
      <c r="BB185" s="466">
        <f>+'Def, COC, ConvF DPK-7 '!P20</f>
        <v>0.75421300000000002</v>
      </c>
      <c r="BC185" s="466">
        <f>+'Def, COC, ConvF DPK-7 '!P20</f>
        <v>0.75421300000000002</v>
      </c>
      <c r="BD185" s="444"/>
      <c r="BE185" s="173"/>
      <c r="BF185" s="336"/>
    </row>
    <row r="186" spans="2:60" outlineLevel="1" x14ac:dyDescent="0.35">
      <c r="B186" s="329" t="s">
        <v>186</v>
      </c>
      <c r="C186" s="465" t="s">
        <v>925</v>
      </c>
      <c r="D186" s="470">
        <f>+D169-(D182*D184)</f>
        <v>-71464250.704958498</v>
      </c>
      <c r="E186" s="1303">
        <f t="shared" ref="E186:AR186" si="143">+E169-(E182*E184)</f>
        <v>152365.35604699998</v>
      </c>
      <c r="F186" s="265">
        <f t="shared" si="143"/>
        <v>0</v>
      </c>
      <c r="G186" s="265">
        <f t="shared" si="143"/>
        <v>0</v>
      </c>
      <c r="H186" s="265">
        <f t="shared" si="143"/>
        <v>-348814.75209316192</v>
      </c>
      <c r="I186" s="265">
        <f t="shared" si="143"/>
        <v>543136.50103020924</v>
      </c>
      <c r="J186" s="265">
        <f t="shared" si="143"/>
        <v>0</v>
      </c>
      <c r="K186" s="265">
        <f t="shared" si="143"/>
        <v>0</v>
      </c>
      <c r="L186" s="265">
        <f t="shared" si="143"/>
        <v>0</v>
      </c>
      <c r="M186" s="265">
        <f t="shared" si="143"/>
        <v>0</v>
      </c>
      <c r="N186" s="265">
        <f t="shared" si="143"/>
        <v>0</v>
      </c>
      <c r="O186" s="265">
        <f t="shared" si="143"/>
        <v>-81134.752065464156</v>
      </c>
      <c r="P186" s="265">
        <f t="shared" si="143"/>
        <v>0</v>
      </c>
      <c r="Q186" s="265">
        <f t="shared" si="143"/>
        <v>0</v>
      </c>
      <c r="R186" s="265">
        <f t="shared" si="143"/>
        <v>0</v>
      </c>
      <c r="S186" s="265">
        <f t="shared" si="143"/>
        <v>0</v>
      </c>
      <c r="T186" s="265">
        <f t="shared" si="143"/>
        <v>0</v>
      </c>
      <c r="U186" s="265">
        <f t="shared" si="143"/>
        <v>0</v>
      </c>
      <c r="V186" s="265">
        <f t="shared" si="143"/>
        <v>0</v>
      </c>
      <c r="W186" s="265">
        <f t="shared" si="143"/>
        <v>0</v>
      </c>
      <c r="X186" s="265">
        <f t="shared" si="143"/>
        <v>0</v>
      </c>
      <c r="Y186" s="265">
        <f t="shared" si="143"/>
        <v>0</v>
      </c>
      <c r="Z186" s="265">
        <f t="shared" si="143"/>
        <v>0</v>
      </c>
      <c r="AA186" s="265">
        <f t="shared" si="143"/>
        <v>0</v>
      </c>
      <c r="AB186" s="265">
        <f t="shared" si="143"/>
        <v>0</v>
      </c>
      <c r="AC186" s="265">
        <f t="shared" si="143"/>
        <v>-8365.7772850000765</v>
      </c>
      <c r="AD186" s="265">
        <f t="shared" ref="AD186" si="144">+AD169-(AD182*AD184)</f>
        <v>0</v>
      </c>
      <c r="AE186" s="265">
        <f>+AE169-(AE182*AE184)</f>
        <v>14277015.758659679</v>
      </c>
      <c r="AF186" s="265">
        <f>+AF169-(AF182*AF184)</f>
        <v>179299.72438449995</v>
      </c>
      <c r="AG186" s="265">
        <f>+AG169-(AG182*AG184)</f>
        <v>-14829438.984794378</v>
      </c>
      <c r="AH186" s="265">
        <f t="shared" ref="AH186:AJ186" si="145">+AH169-(AH182*AH184)</f>
        <v>-8459756.1959994994</v>
      </c>
      <c r="AI186" s="265">
        <f t="shared" si="145"/>
        <v>-970611.79888425022</v>
      </c>
      <c r="AJ186" s="265">
        <f t="shared" si="145"/>
        <v>-8801233.1608897634</v>
      </c>
      <c r="AK186" s="265">
        <f t="shared" ref="AK186:AL186" si="146">+AK169-(AK182*AK184)</f>
        <v>0</v>
      </c>
      <c r="AL186" s="265">
        <f t="shared" si="146"/>
        <v>0</v>
      </c>
      <c r="AM186" s="265">
        <f t="shared" ref="AM186:AO186" si="147">+AM169-(AM182*AM184)</f>
        <v>0</v>
      </c>
      <c r="AN186" s="265">
        <f t="shared" si="147"/>
        <v>0</v>
      </c>
      <c r="AO186" s="265">
        <f t="shared" si="147"/>
        <v>0</v>
      </c>
      <c r="AP186" s="265">
        <f t="shared" si="143"/>
        <v>0</v>
      </c>
      <c r="AQ186" s="265">
        <f t="shared" si="143"/>
        <v>2632645.2699348666</v>
      </c>
      <c r="AR186" s="265">
        <f t="shared" si="143"/>
        <v>590752.31096919067</v>
      </c>
      <c r="AS186" s="1303">
        <f t="shared" ref="AS186" si="148">+AS169-(AS182*AS184)</f>
        <v>0</v>
      </c>
      <c r="AT186" s="265"/>
      <c r="AU186" s="265"/>
      <c r="AV186" s="265"/>
      <c r="AW186" s="265"/>
      <c r="AX186" s="265"/>
      <c r="AY186" s="265"/>
      <c r="AZ186" s="265"/>
      <c r="BB186" s="470">
        <f>SUM(E186:AZ186)</f>
        <v>-15124140.500986071</v>
      </c>
      <c r="BC186" s="470">
        <f>+BC169-(BC182*BC184)</f>
        <v>-86588391.205944568</v>
      </c>
      <c r="BD186" s="444"/>
      <c r="BE186" s="173"/>
      <c r="BF186" s="336"/>
    </row>
    <row r="187" spans="2:60" outlineLevel="1" x14ac:dyDescent="0.35">
      <c r="B187" s="329" t="s">
        <v>187</v>
      </c>
      <c r="C187" s="465" t="s">
        <v>925</v>
      </c>
      <c r="D187" s="470">
        <f>-D186/D185</f>
        <v>94753406.139855042</v>
      </c>
      <c r="E187" s="1303">
        <f t="shared" ref="E187:AR187" si="149">-E186/E185</f>
        <v>-202018.99999999997</v>
      </c>
      <c r="F187" s="265">
        <f t="shared" si="149"/>
        <v>0</v>
      </c>
      <c r="G187" s="265">
        <f t="shared" si="149"/>
        <v>0</v>
      </c>
      <c r="H187" s="265">
        <f t="shared" si="149"/>
        <v>462488.38470453559</v>
      </c>
      <c r="I187" s="265">
        <f t="shared" si="149"/>
        <v>-720136.75318538561</v>
      </c>
      <c r="J187" s="265">
        <f t="shared" si="149"/>
        <v>0</v>
      </c>
      <c r="K187" s="265">
        <f t="shared" si="149"/>
        <v>0</v>
      </c>
      <c r="L187" s="265">
        <f t="shared" si="149"/>
        <v>0</v>
      </c>
      <c r="M187" s="265">
        <f t="shared" si="149"/>
        <v>0</v>
      </c>
      <c r="N187" s="265">
        <f t="shared" si="149"/>
        <v>0</v>
      </c>
      <c r="O187" s="265">
        <f t="shared" si="149"/>
        <v>107575.38263788102</v>
      </c>
      <c r="P187" s="265">
        <f t="shared" si="149"/>
        <v>0</v>
      </c>
      <c r="Q187" s="265">
        <f t="shared" si="149"/>
        <v>0</v>
      </c>
      <c r="R187" s="265">
        <f t="shared" si="149"/>
        <v>0</v>
      </c>
      <c r="S187" s="265">
        <f t="shared" si="149"/>
        <v>0</v>
      </c>
      <c r="T187" s="265">
        <f t="shared" si="149"/>
        <v>0</v>
      </c>
      <c r="U187" s="265">
        <f t="shared" si="149"/>
        <v>0</v>
      </c>
      <c r="V187" s="265">
        <f t="shared" si="149"/>
        <v>0</v>
      </c>
      <c r="W187" s="265">
        <f t="shared" si="149"/>
        <v>0</v>
      </c>
      <c r="X187" s="265">
        <f t="shared" si="149"/>
        <v>0</v>
      </c>
      <c r="Y187" s="265">
        <f t="shared" si="149"/>
        <v>0</v>
      </c>
      <c r="Z187" s="265">
        <f t="shared" si="149"/>
        <v>0</v>
      </c>
      <c r="AA187" s="265">
        <f t="shared" si="149"/>
        <v>0</v>
      </c>
      <c r="AB187" s="265">
        <f t="shared" si="149"/>
        <v>0</v>
      </c>
      <c r="AC187" s="265">
        <f t="shared" si="149"/>
        <v>11092.061904263221</v>
      </c>
      <c r="AD187" s="265">
        <f t="shared" ref="AD187" si="150">-AD186/AD185</f>
        <v>0</v>
      </c>
      <c r="AE187" s="265">
        <f>-AE186/AE185</f>
        <v>-18929686.651727933</v>
      </c>
      <c r="AF187" s="265">
        <f>-AF186/AF185</f>
        <v>-237730.88555156163</v>
      </c>
      <c r="AG187" s="265">
        <f>-AG186/AG185</f>
        <v>19662136.538079266</v>
      </c>
      <c r="AH187" s="265">
        <f t="shared" ref="AH187:AJ187" si="151">-AH186/AH185</f>
        <v>11216667.169618528</v>
      </c>
      <c r="AI187" s="265">
        <f t="shared" si="151"/>
        <v>1286920.0065289915</v>
      </c>
      <c r="AJ187" s="265">
        <f t="shared" si="151"/>
        <v>11669426.48945293</v>
      </c>
      <c r="AK187" s="265">
        <f t="shared" ref="AK187:AL187" si="152">-AK186/AK185</f>
        <v>0</v>
      </c>
      <c r="AL187" s="265">
        <f t="shared" si="152"/>
        <v>0</v>
      </c>
      <c r="AM187" s="265">
        <f t="shared" ref="AM187:AO187" si="153">-AM186/AM185</f>
        <v>0</v>
      </c>
      <c r="AN187" s="265">
        <f t="shared" si="153"/>
        <v>0</v>
      </c>
      <c r="AO187" s="265">
        <f t="shared" si="153"/>
        <v>0</v>
      </c>
      <c r="AP187" s="265">
        <f t="shared" si="149"/>
        <v>0</v>
      </c>
      <c r="AQ187" s="265">
        <f t="shared" si="149"/>
        <v>-3490585.9086688594</v>
      </c>
      <c r="AR187" s="265">
        <f t="shared" si="149"/>
        <v>-783269.86006498255</v>
      </c>
      <c r="AS187" s="1303">
        <f t="shared" ref="AS187" si="154">-AS186/AS185</f>
        <v>0</v>
      </c>
      <c r="AT187" s="265"/>
      <c r="AU187" s="265"/>
      <c r="AV187" s="265"/>
      <c r="AW187" s="265"/>
      <c r="AX187" s="265"/>
      <c r="AY187" s="265"/>
      <c r="AZ187" s="265"/>
      <c r="BB187" s="470">
        <f>SUM(E187:AZ187)</f>
        <v>20052876.973727673</v>
      </c>
      <c r="BC187" s="470">
        <f>-BC186/BC185</f>
        <v>114806283.11358272</v>
      </c>
      <c r="BD187" s="444"/>
      <c r="BE187" s="173"/>
      <c r="BF187" s="336"/>
    </row>
    <row r="188" spans="2:60" outlineLevel="1" x14ac:dyDescent="0.35">
      <c r="B188" s="329" t="s">
        <v>42</v>
      </c>
      <c r="C188" s="465" t="s">
        <v>925</v>
      </c>
      <c r="D188" s="470"/>
      <c r="E188" s="1303"/>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1303"/>
      <c r="AT188" s="265"/>
      <c r="AU188" s="265"/>
      <c r="AV188" s="265"/>
      <c r="AW188" s="265"/>
      <c r="AX188" s="265"/>
      <c r="AY188" s="265"/>
      <c r="AZ188" s="265"/>
      <c r="BB188" s="470"/>
      <c r="BC188" s="470">
        <f>BC127</f>
        <v>0</v>
      </c>
      <c r="BD188" s="444"/>
      <c r="BE188" s="173"/>
      <c r="BF188" s="336"/>
    </row>
    <row r="189" spans="2:60" outlineLevel="1" x14ac:dyDescent="0.35">
      <c r="B189" s="329" t="s">
        <v>43</v>
      </c>
      <c r="C189" s="465" t="s">
        <v>925</v>
      </c>
      <c r="D189" s="470"/>
      <c r="E189" s="1303"/>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1303"/>
      <c r="AT189" s="265"/>
      <c r="AU189" s="265"/>
      <c r="AV189" s="265"/>
      <c r="AW189" s="265"/>
      <c r="AX189" s="265"/>
      <c r="AY189" s="265"/>
      <c r="AZ189" s="265"/>
      <c r="BB189" s="470"/>
      <c r="BC189" s="512">
        <f>SUM(BC187:BC188)</f>
        <v>114806283.11358272</v>
      </c>
      <c r="BD189" s="444"/>
      <c r="BE189" s="173"/>
      <c r="BF189" s="336"/>
    </row>
    <row r="190" spans="2:60" outlineLevel="1" x14ac:dyDescent="0.35">
      <c r="C190" s="465" t="s">
        <v>925</v>
      </c>
      <c r="D190" s="498"/>
      <c r="E190" s="1303"/>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1303"/>
      <c r="AT190" s="265"/>
      <c r="AU190" s="265"/>
      <c r="AV190" s="265"/>
      <c r="AW190" s="265"/>
      <c r="AX190" s="265"/>
      <c r="AY190" s="265"/>
      <c r="AZ190" s="265"/>
      <c r="BB190" s="498"/>
      <c r="BC190" s="498"/>
      <c r="BD190" s="444"/>
      <c r="BE190" s="173"/>
      <c r="BF190" s="336"/>
    </row>
    <row r="191" spans="2:60" outlineLevel="1" x14ac:dyDescent="0.35">
      <c r="C191" s="465" t="s">
        <v>925</v>
      </c>
      <c r="E191" s="1279"/>
      <c r="AS191" s="1279"/>
      <c r="BB191" s="497">
        <f>+'Def, COC, ConvF DPK-7 '!K27</f>
        <v>7.3575000000000002E-2</v>
      </c>
      <c r="BC191" s="497">
        <f>+'Def, COC, ConvF DPK-7 '!K27</f>
        <v>7.3575000000000002E-2</v>
      </c>
      <c r="BD191" s="444"/>
      <c r="BE191" s="173"/>
      <c r="BF191" s="336"/>
    </row>
    <row r="192" spans="2:60" outlineLevel="1" x14ac:dyDescent="0.35">
      <c r="B192" s="499" t="s">
        <v>939</v>
      </c>
      <c r="C192" s="465" t="s">
        <v>925</v>
      </c>
      <c r="D192" s="500"/>
      <c r="E192" s="1304">
        <f>ROUND('Common Adj'!I$71-E169,0)+E171</f>
        <v>0</v>
      </c>
      <c r="F192" s="551">
        <f>ROUND('Common Adj'!AA$65-F169,0)+F171</f>
        <v>0</v>
      </c>
      <c r="G192" s="551">
        <f>ROUND('Common Adj'!AS$30-G169,0)+G171</f>
        <v>0</v>
      </c>
      <c r="H192" s="551">
        <f>ROUND('Common Adj'!BK$22-H169,0)+ROUND('Common Adj'!BK$24-H171,0)</f>
        <v>0</v>
      </c>
      <c r="I192" s="551">
        <f>ROUND('Common Adj'!CC$24-I169,0)+I171</f>
        <v>0</v>
      </c>
      <c r="J192" s="551">
        <f>ROUND('Common Adj'!CU$20-J169,0)+J171</f>
        <v>0</v>
      </c>
      <c r="K192" s="551">
        <f>ROUND('Common Adj'!DM$22-K169,0)+K171</f>
        <v>0</v>
      </c>
      <c r="L192" s="551">
        <f>ROUND('Common Adj'!EE$21-L169,0)+L171</f>
        <v>0</v>
      </c>
      <c r="M192" s="551">
        <f>ROUND('Common Adj'!EW$27-M169,0)+M171</f>
        <v>0</v>
      </c>
      <c r="N192" s="551">
        <f>ROUND('Common Adj'!FO$23-N169,0)+N171</f>
        <v>0</v>
      </c>
      <c r="O192" s="551">
        <f>ROUND('Common Adj'!GG$32-O169,0)+O171</f>
        <v>0</v>
      </c>
      <c r="P192" s="551">
        <f>ROUND('Common Adj'!GY$36-P169,0)+P171</f>
        <v>0</v>
      </c>
      <c r="Q192" s="551">
        <f>ROUND('Common Adj'!HQ$18-Q169,0)+Q171</f>
        <v>0</v>
      </c>
      <c r="R192" s="551">
        <f>ROUND('Common Adj'!II$21-R169,0)+R171</f>
        <v>0</v>
      </c>
      <c r="S192" s="551">
        <f>ROUND('Common Adj'!JA$22-S169,0)+S171</f>
        <v>0</v>
      </c>
      <c r="T192" s="551">
        <f>ROUND('Common Adj'!JS$23-T169,0)+T171</f>
        <v>0</v>
      </c>
      <c r="U192" s="551">
        <f>ROUND('Common Adj'!KK$20-U169,0)+U171</f>
        <v>0</v>
      </c>
      <c r="V192" s="551">
        <f>ROUND('Common Adj'!LC$33-V169,0)+V171</f>
        <v>0</v>
      </c>
      <c r="W192" s="551">
        <f>ROUND('Common Adj'!LU$22-W171,0)+W169</f>
        <v>0</v>
      </c>
      <c r="X192" s="551">
        <f>ROUND('Common Adj'!MM$31-X169,0)+ROUND('Common Adj'!MM$36-X171,0)</f>
        <v>0</v>
      </c>
      <c r="Y192" s="551">
        <f>ROUND('Common Adj'!NE$22-Y169,0)+Y171</f>
        <v>0</v>
      </c>
      <c r="Z192" s="551">
        <f>ROUND('Common Adj'!NW$31-Z169,0)+Z171</f>
        <v>0</v>
      </c>
      <c r="AA192" s="551">
        <f>ROUND('Common Adj'!OO$35-AA169,0)+ROUND('Common Adj'!OO$24-AA171,0)</f>
        <v>0</v>
      </c>
      <c r="AB192" s="551">
        <f>ROUND('Common Adj'!PG$51-AB169,0)+ROUND('Common Adj'!PG$35-AB171,0)</f>
        <v>0</v>
      </c>
      <c r="AC192" s="551">
        <f>ROUND('Common Adj'!PY$21-AC169,0)+AC171</f>
        <v>0</v>
      </c>
      <c r="AD192" s="551">
        <f>ROUND('Common Adj'!QR19-AD171,0)</f>
        <v>0</v>
      </c>
      <c r="AE192" s="551">
        <f>ROUND('Common Adj'!RJ31-AE169,0)+ROUND('Common Adj'!RJ36-AE171,0)</f>
        <v>0</v>
      </c>
      <c r="AF192" s="551">
        <f>ROUND('Common Adj'!SB30-AF169,0)+ROUND('Common Adj'!SB35-AF171,0)</f>
        <v>0</v>
      </c>
      <c r="AG192" s="551">
        <f>ROUND('Common Adj'!$ST$26-AG169,0)+ROUND('Common Adj'!$ST$31-AG171,0)</f>
        <v>0</v>
      </c>
      <c r="AH192" s="551">
        <f>ROUND('Common Adj'!$ST$44-AH169,0)+ROUND('Common Adj'!$ST$49-AH171,0)</f>
        <v>0</v>
      </c>
      <c r="AI192" s="551">
        <f>ROUND('Common Adj'!$ST$62-AI169,0)+ROUND('Common Adj'!$ST$67-AI171,0)</f>
        <v>0</v>
      </c>
      <c r="AJ192" s="551">
        <f>ROUND('Common Adj'!$ST$80-AJ169,0)+ROUND('Common Adj'!$ST$85-AJ171,0)</f>
        <v>0</v>
      </c>
      <c r="AK192" s="551">
        <f>ROUND('Common Adj'!UF$38-AK169,0)</f>
        <v>0</v>
      </c>
      <c r="AL192" s="551">
        <f>ROUND('Common Adj'!UY$27-AL169,0)+ROUND('Common Adj'!UY$19-AL171,0)</f>
        <v>0</v>
      </c>
      <c r="AM192" s="551">
        <f>ROUND('Common Adj'!TM$25-AM169,0)</f>
        <v>0</v>
      </c>
      <c r="AN192" s="551">
        <f>ROUND('Common Adj'!VR$32-AN169,0)+ROUND(AN182-'Common Adj'!VR24,0)</f>
        <v>0</v>
      </c>
      <c r="AO192" s="551">
        <f>ROUND('Common Adj'!WG$21-AO169,0)</f>
        <v>0</v>
      </c>
      <c r="AP192" s="551">
        <f>ROUND('Gas Adj'!BK$49-AP171,0)+ROUND('Gas Adj'!BK$33-AP169,0)</f>
        <v>0</v>
      </c>
      <c r="AQ192" s="551">
        <f>ROUND('Gas Adj'!CC$47-AQ169,0)+ROUND('Gas Adj'!CC$27-AQ171,0)</f>
        <v>0</v>
      </c>
      <c r="AR192" s="551">
        <f>ROUND('Gas Adj'!CU22-AR169+'Gas Adj'!CU31-AR171,0)</f>
        <v>0</v>
      </c>
      <c r="AS192" s="1304">
        <f>ROUND('Gas Adj'!DD22-AS169+'Gas Adj'!DD31-AS171,0)</f>
        <v>0</v>
      </c>
      <c r="AT192" s="547"/>
      <c r="AU192" s="548"/>
      <c r="AV192" s="549"/>
      <c r="AW192" s="549"/>
      <c r="AX192" s="549"/>
      <c r="AY192" s="549"/>
      <c r="AZ192" s="549"/>
      <c r="BB192" s="550"/>
      <c r="BC192" s="550"/>
      <c r="BD192" s="444"/>
      <c r="BF192" s="336"/>
    </row>
    <row r="193" spans="1:58" outlineLevel="1" x14ac:dyDescent="0.35">
      <c r="B193" s="499" t="s">
        <v>953</v>
      </c>
      <c r="C193" s="465" t="s">
        <v>925</v>
      </c>
      <c r="D193" s="551">
        <f>'Summary DPK-7 '!G47-D169</f>
        <v>0</v>
      </c>
      <c r="E193" s="1279"/>
      <c r="AS193" s="1279"/>
      <c r="BC193" s="551">
        <f>'Summary DPK-7 '!I47-BC169</f>
        <v>0</v>
      </c>
      <c r="BD193" s="444"/>
      <c r="BF193" s="336"/>
    </row>
    <row r="194" spans="1:58" outlineLevel="1" x14ac:dyDescent="0.35">
      <c r="B194" s="499" t="s">
        <v>954</v>
      </c>
      <c r="C194" s="465" t="s">
        <v>925</v>
      </c>
      <c r="D194" s="551">
        <f>'Summary DPK-7 '!G58-D182</f>
        <v>0</v>
      </c>
      <c r="E194" s="1279"/>
      <c r="AS194" s="1279"/>
      <c r="BC194" s="551">
        <f>'Summary DPK-7 '!I58-BC182</f>
        <v>0</v>
      </c>
      <c r="BD194" s="444"/>
      <c r="BF194" s="336"/>
    </row>
    <row r="195" spans="1:58" x14ac:dyDescent="0.35">
      <c r="A195" s="456"/>
      <c r="B195" s="503"/>
      <c r="C195" s="504"/>
      <c r="D195" s="462"/>
      <c r="E195" s="456"/>
      <c r="F195" s="456"/>
      <c r="G195" s="456"/>
      <c r="H195" s="456"/>
      <c r="I195" s="456"/>
      <c r="J195" s="456"/>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456"/>
      <c r="AG195" s="456"/>
      <c r="AH195" s="456"/>
      <c r="AI195" s="456"/>
      <c r="AJ195" s="456"/>
      <c r="AK195" s="456"/>
      <c r="AL195" s="456"/>
      <c r="AM195" s="456"/>
      <c r="AN195" s="456"/>
      <c r="AO195" s="456"/>
      <c r="AP195" s="456"/>
      <c r="AQ195" s="456"/>
      <c r="AR195" s="456"/>
      <c r="AS195" s="456"/>
      <c r="AT195" s="456"/>
      <c r="AU195" s="456"/>
      <c r="AV195" s="456"/>
      <c r="AW195" s="456"/>
      <c r="AX195" s="456"/>
      <c r="AY195" s="456"/>
      <c r="AZ195" s="456"/>
      <c r="BB195" s="456"/>
      <c r="BC195" s="462"/>
      <c r="BD195" s="444"/>
      <c r="BF195" s="336"/>
    </row>
    <row r="196" spans="1:58" outlineLevel="1" x14ac:dyDescent="0.35">
      <c r="A196" s="456"/>
      <c r="B196" s="458"/>
      <c r="C196" s="515" t="s">
        <v>923</v>
      </c>
      <c r="D196" s="506"/>
      <c r="E196" s="461">
        <v>45992</v>
      </c>
      <c r="F196" s="461">
        <v>45992</v>
      </c>
      <c r="G196" s="461">
        <v>45992</v>
      </c>
      <c r="H196" s="461">
        <v>45992</v>
      </c>
      <c r="I196" s="461">
        <v>45992</v>
      </c>
      <c r="J196" s="461">
        <v>45992</v>
      </c>
      <c r="K196" s="461">
        <v>45992</v>
      </c>
      <c r="L196" s="461">
        <v>45992</v>
      </c>
      <c r="M196" s="461">
        <v>45992</v>
      </c>
      <c r="N196" s="461">
        <v>45992</v>
      </c>
      <c r="O196" s="461">
        <v>45992</v>
      </c>
      <c r="P196" s="461">
        <v>45992</v>
      </c>
      <c r="Q196" s="461">
        <v>45992</v>
      </c>
      <c r="R196" s="461">
        <v>45992</v>
      </c>
      <c r="S196" s="461">
        <v>45992</v>
      </c>
      <c r="T196" s="461">
        <v>45992</v>
      </c>
      <c r="U196" s="461">
        <v>45992</v>
      </c>
      <c r="V196" s="461">
        <v>45992</v>
      </c>
      <c r="W196" s="461">
        <v>45992</v>
      </c>
      <c r="X196" s="461">
        <v>45992</v>
      </c>
      <c r="Y196" s="461">
        <v>45992</v>
      </c>
      <c r="Z196" s="461">
        <v>45992</v>
      </c>
      <c r="AA196" s="461">
        <v>45992</v>
      </c>
      <c r="AB196" s="461">
        <v>45992</v>
      </c>
      <c r="AC196" s="461">
        <v>45992</v>
      </c>
      <c r="AD196" s="461">
        <v>45992</v>
      </c>
      <c r="AE196" s="461">
        <v>45992</v>
      </c>
      <c r="AF196" s="461">
        <v>45992</v>
      </c>
      <c r="AG196" s="461">
        <v>45992</v>
      </c>
      <c r="AH196" s="461">
        <v>45992</v>
      </c>
      <c r="AI196" s="461">
        <v>45992</v>
      </c>
      <c r="AJ196" s="461">
        <v>45992</v>
      </c>
      <c r="AK196" s="461">
        <v>45992</v>
      </c>
      <c r="AL196" s="461">
        <v>45992</v>
      </c>
      <c r="AM196" s="461">
        <v>45992</v>
      </c>
      <c r="AN196" s="461">
        <v>45992</v>
      </c>
      <c r="AO196" s="461">
        <v>45992</v>
      </c>
      <c r="AP196" s="461">
        <v>45992</v>
      </c>
      <c r="AQ196" s="461">
        <v>45992</v>
      </c>
      <c r="AR196" s="461">
        <v>45992</v>
      </c>
      <c r="AS196" s="461">
        <v>45992</v>
      </c>
      <c r="AT196" s="461">
        <v>45992</v>
      </c>
      <c r="AU196" s="461">
        <v>45992</v>
      </c>
      <c r="AV196" s="461">
        <v>45992</v>
      </c>
      <c r="AW196" s="461">
        <v>45992</v>
      </c>
      <c r="AX196" s="461">
        <v>45992</v>
      </c>
      <c r="AY196" s="461">
        <v>45992</v>
      </c>
      <c r="AZ196" s="461">
        <v>45992</v>
      </c>
      <c r="BB196" s="461">
        <v>45992</v>
      </c>
      <c r="BC196" s="461">
        <v>45992</v>
      </c>
      <c r="BD196" s="444"/>
      <c r="BF196" s="336"/>
    </row>
    <row r="197" spans="1:58" outlineLevel="1" x14ac:dyDescent="0.35">
      <c r="A197" s="456"/>
      <c r="B197" s="458"/>
      <c r="C197" s="515">
        <v>2025</v>
      </c>
      <c r="D197" s="508"/>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c r="AA197" s="463"/>
      <c r="AB197" s="463"/>
      <c r="AC197" s="463"/>
      <c r="AD197" s="463"/>
      <c r="AE197" s="463"/>
      <c r="AF197" s="463"/>
      <c r="AG197" s="463"/>
      <c r="AH197" s="463"/>
      <c r="AI197" s="463"/>
      <c r="AJ197" s="463"/>
      <c r="AK197" s="463"/>
      <c r="AL197" s="463"/>
      <c r="AM197" s="463"/>
      <c r="AN197" s="463"/>
      <c r="AO197" s="463"/>
      <c r="AP197" s="463"/>
      <c r="AQ197" s="463"/>
      <c r="AR197" s="463"/>
      <c r="AS197" s="463"/>
      <c r="AT197" s="463"/>
      <c r="AU197" s="463"/>
      <c r="AV197" s="463"/>
      <c r="AW197" s="463"/>
      <c r="AX197" s="463"/>
      <c r="AY197" s="463"/>
      <c r="AZ197" s="463"/>
      <c r="BB197" s="456"/>
      <c r="BC197" s="462"/>
      <c r="BD197" s="444"/>
      <c r="BF197" s="336"/>
    </row>
    <row r="198" spans="1:58" outlineLevel="1" x14ac:dyDescent="0.35">
      <c r="B198" s="464" t="s">
        <v>0</v>
      </c>
      <c r="C198" s="516" t="s">
        <v>920</v>
      </c>
      <c r="D198" s="476"/>
      <c r="E198" s="1279"/>
      <c r="AS198" s="1279"/>
      <c r="BB198" s="467"/>
      <c r="BC198" s="467"/>
      <c r="BD198" s="444"/>
      <c r="BF198" s="336"/>
    </row>
    <row r="199" spans="1:58" outlineLevel="1" x14ac:dyDescent="0.35">
      <c r="B199" s="464" t="s">
        <v>48</v>
      </c>
      <c r="C199" s="516" t="s">
        <v>920</v>
      </c>
      <c r="D199" s="467">
        <f>+BC138</f>
        <v>554377915.72602034</v>
      </c>
      <c r="E199" s="1305">
        <f>'Common Adj'!$K$37</f>
        <v>-3604266</v>
      </c>
      <c r="F199" s="468"/>
      <c r="G199" s="468"/>
      <c r="H199" s="468"/>
      <c r="I199" s="468"/>
      <c r="J199" s="468"/>
      <c r="K199" s="468"/>
      <c r="L199" s="468"/>
      <c r="M199" s="468"/>
      <c r="N199" s="468"/>
      <c r="O199" s="468"/>
      <c r="P199" s="468"/>
      <c r="Q199" s="468"/>
      <c r="R199" s="468"/>
      <c r="S199" s="468"/>
      <c r="T199" s="468"/>
      <c r="U199" s="468"/>
      <c r="V199" s="468"/>
      <c r="W199" s="468"/>
      <c r="X199" s="468"/>
      <c r="Y199" s="468"/>
      <c r="Z199" s="468"/>
      <c r="AA199" s="468"/>
      <c r="AB199" s="468"/>
      <c r="AC199" s="468"/>
      <c r="AD199" s="468"/>
      <c r="AE199" s="468"/>
      <c r="AF199" s="468"/>
      <c r="AG199" s="468"/>
      <c r="AH199" s="468"/>
      <c r="AI199" s="468"/>
      <c r="AJ199" s="468"/>
      <c r="AK199" s="468"/>
      <c r="AL199" s="468"/>
      <c r="AM199" s="468"/>
      <c r="AN199" s="468"/>
      <c r="AO199" s="468"/>
      <c r="AP199" s="468"/>
      <c r="AQ199" s="468"/>
      <c r="AR199" s="468"/>
      <c r="AS199" s="1305"/>
      <c r="AT199" s="468"/>
      <c r="AU199" s="468"/>
      <c r="AV199" s="468"/>
      <c r="AW199" s="468"/>
      <c r="AX199" s="468"/>
      <c r="AY199" s="468"/>
      <c r="AZ199" s="468"/>
      <c r="BB199" s="467">
        <f>SUM(E199:AZ199)</f>
        <v>-3604266</v>
      </c>
      <c r="BC199" s="467">
        <f>+BB199+D199</f>
        <v>550773649.72602034</v>
      </c>
      <c r="BD199" s="444"/>
      <c r="BE199" s="173"/>
      <c r="BF199" s="336"/>
    </row>
    <row r="200" spans="1:58" outlineLevel="1" x14ac:dyDescent="0.35">
      <c r="B200" s="464" t="s">
        <v>49</v>
      </c>
      <c r="C200" s="516" t="s">
        <v>920</v>
      </c>
      <c r="D200" s="470">
        <f>+BC139</f>
        <v>0</v>
      </c>
      <c r="E200" s="1306"/>
      <c r="F200" s="471"/>
      <c r="G200" s="471"/>
      <c r="H200" s="471"/>
      <c r="I200" s="471"/>
      <c r="J200" s="471"/>
      <c r="K200" s="471"/>
      <c r="L200" s="471"/>
      <c r="M200" s="471"/>
      <c r="N200" s="471"/>
      <c r="O200" s="471"/>
      <c r="P200" s="471"/>
      <c r="Q200" s="471"/>
      <c r="R200" s="471"/>
      <c r="S200" s="471"/>
      <c r="T200" s="471"/>
      <c r="U200" s="471"/>
      <c r="V200" s="471"/>
      <c r="W200" s="471"/>
      <c r="X200" s="471"/>
      <c r="Y200" s="471"/>
      <c r="Z200" s="471"/>
      <c r="AA200" s="471"/>
      <c r="AB200" s="471"/>
      <c r="AC200" s="471"/>
      <c r="AD200" s="471"/>
      <c r="AE200" s="471"/>
      <c r="AF200" s="471"/>
      <c r="AG200" s="471"/>
      <c r="AH200" s="471"/>
      <c r="AI200" s="471"/>
      <c r="AJ200" s="471"/>
      <c r="AK200" s="471"/>
      <c r="AL200" s="471"/>
      <c r="AM200" s="471"/>
      <c r="AN200" s="471"/>
      <c r="AO200" s="471"/>
      <c r="AP200" s="471"/>
      <c r="AQ200" s="471"/>
      <c r="AR200" s="471"/>
      <c r="AS200" s="1306"/>
      <c r="AT200" s="471"/>
      <c r="AU200" s="471"/>
      <c r="AV200" s="471"/>
      <c r="AW200" s="471"/>
      <c r="AX200" s="471"/>
      <c r="AY200" s="471"/>
      <c r="AZ200" s="471"/>
      <c r="BB200" s="470">
        <f>SUM(E200:AZ200)</f>
        <v>0</v>
      </c>
      <c r="BC200" s="470">
        <f>+BB200+D200</f>
        <v>0</v>
      </c>
      <c r="BD200" s="444"/>
      <c r="BE200" s="173"/>
      <c r="BF200" s="336"/>
    </row>
    <row r="201" spans="1:58" outlineLevel="1" x14ac:dyDescent="0.35">
      <c r="B201" s="464" t="s">
        <v>50</v>
      </c>
      <c r="C201" s="516" t="s">
        <v>920</v>
      </c>
      <c r="D201" s="470">
        <f>+BC140</f>
        <v>0</v>
      </c>
      <c r="E201" s="1306"/>
      <c r="F201" s="471"/>
      <c r="G201" s="471"/>
      <c r="H201" s="471"/>
      <c r="I201" s="471"/>
      <c r="J201" s="471"/>
      <c r="K201" s="471"/>
      <c r="L201" s="471"/>
      <c r="M201" s="471"/>
      <c r="N201" s="471"/>
      <c r="O201" s="471"/>
      <c r="P201" s="471"/>
      <c r="Q201" s="471"/>
      <c r="R201" s="471"/>
      <c r="S201" s="471"/>
      <c r="T201" s="471"/>
      <c r="U201" s="471"/>
      <c r="V201" s="471"/>
      <c r="W201" s="471"/>
      <c r="X201" s="471"/>
      <c r="Y201" s="471"/>
      <c r="Z201" s="471"/>
      <c r="AA201" s="471"/>
      <c r="AB201" s="471"/>
      <c r="AC201" s="471"/>
      <c r="AD201" s="471"/>
      <c r="AE201" s="471"/>
      <c r="AF201" s="471"/>
      <c r="AG201" s="471"/>
      <c r="AH201" s="471"/>
      <c r="AI201" s="471"/>
      <c r="AJ201" s="471"/>
      <c r="AK201" s="471"/>
      <c r="AL201" s="471"/>
      <c r="AM201" s="471"/>
      <c r="AN201" s="471"/>
      <c r="AO201" s="471"/>
      <c r="AP201" s="471"/>
      <c r="AQ201" s="471"/>
      <c r="AR201" s="471"/>
      <c r="AS201" s="1306"/>
      <c r="AT201" s="471"/>
      <c r="AU201" s="471"/>
      <c r="AV201" s="471"/>
      <c r="AW201" s="471"/>
      <c r="AX201" s="471"/>
      <c r="AY201" s="471"/>
      <c r="AZ201" s="471"/>
      <c r="BB201" s="470">
        <f>SUM(E201:AZ201)</f>
        <v>0</v>
      </c>
      <c r="BC201" s="470">
        <f>+BB201+D201</f>
        <v>0</v>
      </c>
      <c r="BD201" s="444"/>
      <c r="BE201" s="173"/>
      <c r="BF201" s="336"/>
    </row>
    <row r="202" spans="1:58" outlineLevel="1" x14ac:dyDescent="0.35">
      <c r="B202" s="464" t="s">
        <v>51</v>
      </c>
      <c r="C202" s="516" t="s">
        <v>920</v>
      </c>
      <c r="D202" s="470">
        <f>+BC141</f>
        <v>-604789.78244638466</v>
      </c>
      <c r="E202" s="1306"/>
      <c r="F202" s="471"/>
      <c r="G202" s="471"/>
      <c r="H202" s="471"/>
      <c r="I202" s="471"/>
      <c r="J202" s="471"/>
      <c r="K202" s="471"/>
      <c r="L202" s="471"/>
      <c r="M202" s="471"/>
      <c r="N202" s="471"/>
      <c r="O202" s="471"/>
      <c r="P202" s="471"/>
      <c r="Q202" s="471"/>
      <c r="R202" s="471"/>
      <c r="S202" s="471"/>
      <c r="T202" s="471"/>
      <c r="U202" s="471"/>
      <c r="V202" s="471"/>
      <c r="W202" s="471"/>
      <c r="X202" s="471"/>
      <c r="Y202" s="471"/>
      <c r="Z202" s="471"/>
      <c r="AA202" s="471"/>
      <c r="AB202" s="471"/>
      <c r="AC202" s="471"/>
      <c r="AD202" s="471"/>
      <c r="AE202" s="471"/>
      <c r="AF202" s="471"/>
      <c r="AG202" s="471"/>
      <c r="AH202" s="471"/>
      <c r="AI202" s="471"/>
      <c r="AJ202" s="471"/>
      <c r="AK202" s="471"/>
      <c r="AL202" s="471"/>
      <c r="AM202" s="471"/>
      <c r="AN202" s="471"/>
      <c r="AO202" s="471"/>
      <c r="AP202" s="471">
        <f>-'Gas Adj'!BM39</f>
        <v>0</v>
      </c>
      <c r="AQ202" s="471">
        <f>-'Gas Adj'!CE33-'Gas Adj'!CE36</f>
        <v>0</v>
      </c>
      <c r="AR202" s="471"/>
      <c r="AS202" s="1306"/>
      <c r="AT202" s="471"/>
      <c r="AU202" s="471"/>
      <c r="AV202" s="471"/>
      <c r="AW202" s="471"/>
      <c r="AX202" s="471"/>
      <c r="AY202" s="471"/>
      <c r="AZ202" s="471"/>
      <c r="BB202" s="470">
        <f>SUM(E202:AZ202)</f>
        <v>0</v>
      </c>
      <c r="BC202" s="470">
        <f>+BB202+D202</f>
        <v>-604789.78244638466</v>
      </c>
      <c r="BD202" s="444"/>
      <c r="BE202" s="173"/>
      <c r="BF202" s="336"/>
    </row>
    <row r="203" spans="1:58" outlineLevel="1" x14ac:dyDescent="0.35">
      <c r="B203" s="464" t="s">
        <v>58</v>
      </c>
      <c r="C203" s="516" t="s">
        <v>920</v>
      </c>
      <c r="D203" s="473">
        <f>SUM(D199:D202)</f>
        <v>553773125.94357395</v>
      </c>
      <c r="E203" s="1307">
        <f t="shared" ref="E203:AR203" si="155">SUM(E199:E202)</f>
        <v>-3604266</v>
      </c>
      <c r="F203" s="474">
        <f t="shared" si="155"/>
        <v>0</v>
      </c>
      <c r="G203" s="474">
        <f t="shared" si="155"/>
        <v>0</v>
      </c>
      <c r="H203" s="474">
        <f t="shared" si="155"/>
        <v>0</v>
      </c>
      <c r="I203" s="474">
        <f t="shared" si="155"/>
        <v>0</v>
      </c>
      <c r="J203" s="474">
        <f t="shared" si="155"/>
        <v>0</v>
      </c>
      <c r="K203" s="474">
        <f t="shared" si="155"/>
        <v>0</v>
      </c>
      <c r="L203" s="474">
        <f t="shared" si="155"/>
        <v>0</v>
      </c>
      <c r="M203" s="474">
        <f t="shared" si="155"/>
        <v>0</v>
      </c>
      <c r="N203" s="474">
        <f t="shared" si="155"/>
        <v>0</v>
      </c>
      <c r="O203" s="474">
        <f t="shared" si="155"/>
        <v>0</v>
      </c>
      <c r="P203" s="474">
        <f t="shared" si="155"/>
        <v>0</v>
      </c>
      <c r="Q203" s="474">
        <f t="shared" si="155"/>
        <v>0</v>
      </c>
      <c r="R203" s="474">
        <f t="shared" si="155"/>
        <v>0</v>
      </c>
      <c r="S203" s="474">
        <f t="shared" si="155"/>
        <v>0</v>
      </c>
      <c r="T203" s="474">
        <f t="shared" si="155"/>
        <v>0</v>
      </c>
      <c r="U203" s="474">
        <f t="shared" si="155"/>
        <v>0</v>
      </c>
      <c r="V203" s="474">
        <f t="shared" si="155"/>
        <v>0</v>
      </c>
      <c r="W203" s="474">
        <f t="shared" si="155"/>
        <v>0</v>
      </c>
      <c r="X203" s="474">
        <f t="shared" si="155"/>
        <v>0</v>
      </c>
      <c r="Y203" s="474">
        <f t="shared" si="155"/>
        <v>0</v>
      </c>
      <c r="Z203" s="474">
        <f t="shared" si="155"/>
        <v>0</v>
      </c>
      <c r="AA203" s="474">
        <f t="shared" si="155"/>
        <v>0</v>
      </c>
      <c r="AB203" s="474">
        <f t="shared" si="155"/>
        <v>0</v>
      </c>
      <c r="AC203" s="474">
        <f t="shared" si="155"/>
        <v>0</v>
      </c>
      <c r="AD203" s="474">
        <f t="shared" ref="AD203" si="156">SUM(AD199:AD202)</f>
        <v>0</v>
      </c>
      <c r="AE203" s="474">
        <f t="shared" si="155"/>
        <v>0</v>
      </c>
      <c r="AF203" s="474">
        <f t="shared" si="155"/>
        <v>0</v>
      </c>
      <c r="AG203" s="474">
        <f t="shared" si="155"/>
        <v>0</v>
      </c>
      <c r="AH203" s="474">
        <f t="shared" ref="AH203:AJ203" si="157">SUM(AH199:AH202)</f>
        <v>0</v>
      </c>
      <c r="AI203" s="474">
        <f t="shared" si="157"/>
        <v>0</v>
      </c>
      <c r="AJ203" s="474">
        <f t="shared" si="157"/>
        <v>0</v>
      </c>
      <c r="AK203" s="474">
        <f t="shared" si="155"/>
        <v>0</v>
      </c>
      <c r="AL203" s="474">
        <f t="shared" si="155"/>
        <v>0</v>
      </c>
      <c r="AM203" s="474">
        <f t="shared" ref="AM203:AN203" si="158">SUM(AM199:AM202)</f>
        <v>0</v>
      </c>
      <c r="AN203" s="474">
        <f t="shared" si="158"/>
        <v>0</v>
      </c>
      <c r="AO203" s="474">
        <f t="shared" ref="AO203" si="159">SUM(AO199:AO202)</f>
        <v>0</v>
      </c>
      <c r="AP203" s="474">
        <f t="shared" si="155"/>
        <v>0</v>
      </c>
      <c r="AQ203" s="474">
        <f t="shared" si="155"/>
        <v>0</v>
      </c>
      <c r="AR203" s="474">
        <f t="shared" si="155"/>
        <v>0</v>
      </c>
      <c r="AS203" s="1307">
        <f t="shared" ref="AS203" si="160">SUM(AS199:AS202)</f>
        <v>0</v>
      </c>
      <c r="AT203" s="474"/>
      <c r="AU203" s="474"/>
      <c r="AV203" s="474"/>
      <c r="AW203" s="474"/>
      <c r="AX203" s="474"/>
      <c r="AY203" s="474"/>
      <c r="AZ203" s="474"/>
      <c r="BB203" s="473">
        <f>SUM(BB199:BB202)</f>
        <v>-3604266</v>
      </c>
      <c r="BC203" s="473">
        <f>SUM(BC199:BC202)</f>
        <v>550168859.94357395</v>
      </c>
      <c r="BD203" s="444"/>
      <c r="BE203" s="173"/>
      <c r="BF203" s="336"/>
    </row>
    <row r="204" spans="1:58" outlineLevel="1" x14ac:dyDescent="0.35">
      <c r="B204" s="475"/>
      <c r="C204" s="516" t="s">
        <v>920</v>
      </c>
      <c r="D204" s="470"/>
      <c r="E204" s="1306"/>
      <c r="F204" s="471"/>
      <c r="G204" s="471"/>
      <c r="H204" s="471"/>
      <c r="I204" s="471"/>
      <c r="J204" s="471"/>
      <c r="K204" s="471"/>
      <c r="L204" s="471"/>
      <c r="M204" s="471"/>
      <c r="N204" s="471"/>
      <c r="O204" s="471"/>
      <c r="P204" s="471"/>
      <c r="Q204" s="471"/>
      <c r="R204" s="471"/>
      <c r="S204" s="471"/>
      <c r="T204" s="471"/>
      <c r="U204" s="471"/>
      <c r="V204" s="471"/>
      <c r="W204" s="471"/>
      <c r="X204" s="471"/>
      <c r="Y204" s="471"/>
      <c r="Z204" s="471"/>
      <c r="AA204" s="471"/>
      <c r="AB204" s="471"/>
      <c r="AC204" s="471"/>
      <c r="AD204" s="471"/>
      <c r="AE204" s="471"/>
      <c r="AF204" s="471"/>
      <c r="AG204" s="471"/>
      <c r="AH204" s="471"/>
      <c r="AI204" s="471"/>
      <c r="AJ204" s="471"/>
      <c r="AK204" s="471"/>
      <c r="AL204" s="471"/>
      <c r="AM204" s="471"/>
      <c r="AN204" s="471"/>
      <c r="AO204" s="471"/>
      <c r="AP204" s="471"/>
      <c r="AQ204" s="471"/>
      <c r="AR204" s="471"/>
      <c r="AS204" s="1306"/>
      <c r="AT204" s="471"/>
      <c r="AU204" s="471"/>
      <c r="AV204" s="471"/>
      <c r="AW204" s="471"/>
      <c r="AX204" s="471"/>
      <c r="AY204" s="471"/>
      <c r="AZ204" s="471"/>
      <c r="BB204" s="470"/>
      <c r="BC204" s="470"/>
      <c r="BD204" s="444"/>
      <c r="BE204" s="173"/>
      <c r="BF204" s="336"/>
    </row>
    <row r="205" spans="1:58" outlineLevel="1" x14ac:dyDescent="0.35">
      <c r="B205" s="464" t="s">
        <v>52</v>
      </c>
      <c r="C205" s="516" t="s">
        <v>920</v>
      </c>
      <c r="D205" s="466"/>
      <c r="E205" s="1308"/>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c r="AN205" s="341"/>
      <c r="AO205" s="341"/>
      <c r="AP205" s="341"/>
      <c r="AQ205" s="341"/>
      <c r="AR205" s="341"/>
      <c r="AS205" s="1308"/>
      <c r="AT205" s="341"/>
      <c r="AU205" s="341"/>
      <c r="AV205" s="341"/>
      <c r="AW205" s="341"/>
      <c r="AX205" s="341"/>
      <c r="AY205" s="341"/>
      <c r="AZ205" s="341"/>
      <c r="BB205" s="466"/>
      <c r="BC205" s="466"/>
      <c r="BD205" s="444"/>
      <c r="BE205" s="173"/>
      <c r="BF205" s="336"/>
    </row>
    <row r="206" spans="1:58" outlineLevel="1" x14ac:dyDescent="0.35">
      <c r="C206" s="516" t="s">
        <v>920</v>
      </c>
      <c r="D206" s="466"/>
      <c r="E206" s="1308"/>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1"/>
      <c r="AN206" s="341"/>
      <c r="AO206" s="341"/>
      <c r="AP206" s="341"/>
      <c r="AQ206" s="341"/>
      <c r="AR206" s="341"/>
      <c r="AS206" s="1308"/>
      <c r="AT206" s="341"/>
      <c r="AU206" s="341"/>
      <c r="AV206" s="341"/>
      <c r="AW206" s="341"/>
      <c r="AX206" s="341"/>
      <c r="AY206" s="341"/>
      <c r="AZ206" s="341"/>
      <c r="BB206" s="466"/>
      <c r="BC206" s="466"/>
      <c r="BD206" s="444"/>
      <c r="BE206" s="173"/>
      <c r="BF206" s="336"/>
    </row>
    <row r="207" spans="1:58" outlineLevel="1" x14ac:dyDescent="0.35">
      <c r="B207" s="464" t="s">
        <v>53</v>
      </c>
      <c r="C207" s="516" t="s">
        <v>920</v>
      </c>
      <c r="D207" s="466"/>
      <c r="E207" s="1308"/>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c r="AN207" s="341"/>
      <c r="AO207" s="341"/>
      <c r="AP207" s="341"/>
      <c r="AQ207" s="341"/>
      <c r="AR207" s="341"/>
      <c r="AS207" s="1308"/>
      <c r="AT207" s="341"/>
      <c r="AU207" s="341"/>
      <c r="AV207" s="341"/>
      <c r="AW207" s="341"/>
      <c r="AX207" s="341"/>
      <c r="AY207" s="341"/>
      <c r="AZ207" s="341"/>
      <c r="BB207" s="466"/>
      <c r="BC207" s="466"/>
      <c r="BD207" s="444"/>
      <c r="BE207" s="173"/>
      <c r="BF207" s="336"/>
    </row>
    <row r="208" spans="1:58" outlineLevel="1" x14ac:dyDescent="0.35">
      <c r="B208" s="464" t="s">
        <v>54</v>
      </c>
      <c r="C208" s="516" t="s">
        <v>920</v>
      </c>
      <c r="D208" s="476">
        <f>+BC147</f>
        <v>0</v>
      </c>
      <c r="E208" s="1309"/>
      <c r="F208" s="420"/>
      <c r="G208" s="420"/>
      <c r="H208" s="420"/>
      <c r="I208" s="420"/>
      <c r="J208" s="420"/>
      <c r="K208" s="420"/>
      <c r="L208" s="420"/>
      <c r="M208" s="420"/>
      <c r="N208" s="420"/>
      <c r="O208" s="420"/>
      <c r="P208" s="420"/>
      <c r="Q208" s="420"/>
      <c r="R208" s="420"/>
      <c r="S208" s="420"/>
      <c r="T208" s="420"/>
      <c r="U208" s="420"/>
      <c r="V208" s="420"/>
      <c r="W208" s="420"/>
      <c r="X208" s="420"/>
      <c r="Y208" s="420"/>
      <c r="Z208" s="420"/>
      <c r="AA208" s="420"/>
      <c r="AB208" s="420"/>
      <c r="AC208" s="420"/>
      <c r="AD208" s="420"/>
      <c r="AE208" s="420"/>
      <c r="AF208" s="420"/>
      <c r="AG208" s="420"/>
      <c r="AH208" s="420"/>
      <c r="AI208" s="420"/>
      <c r="AJ208" s="420"/>
      <c r="AK208" s="471"/>
      <c r="AL208" s="471"/>
      <c r="AM208" s="420"/>
      <c r="AN208" s="471"/>
      <c r="AO208" s="471"/>
      <c r="AP208" s="420"/>
      <c r="AQ208" s="420"/>
      <c r="AR208" s="420"/>
      <c r="AS208" s="1309"/>
      <c r="AT208" s="420"/>
      <c r="AU208" s="420"/>
      <c r="AV208" s="420"/>
      <c r="AW208" s="420"/>
      <c r="AX208" s="420"/>
      <c r="AY208" s="420"/>
      <c r="AZ208" s="420"/>
      <c r="BB208" s="476">
        <f>SUM(E208:AZ208)</f>
        <v>0</v>
      </c>
      <c r="BC208" s="476">
        <f>+BB208+D208</f>
        <v>0</v>
      </c>
      <c r="BD208" s="444"/>
      <c r="BE208" s="173"/>
      <c r="BF208" s="336"/>
    </row>
    <row r="209" spans="2:58" outlineLevel="1" x14ac:dyDescent="0.35">
      <c r="B209" s="464" t="s">
        <v>55</v>
      </c>
      <c r="C209" s="516" t="s">
        <v>920</v>
      </c>
      <c r="D209" s="517">
        <f>+BC148</f>
        <v>0</v>
      </c>
      <c r="E209" s="1306"/>
      <c r="F209" s="471"/>
      <c r="G209" s="471"/>
      <c r="H209" s="471"/>
      <c r="I209" s="471"/>
      <c r="J209" s="471"/>
      <c r="K209" s="471"/>
      <c r="L209" s="471"/>
      <c r="M209" s="471"/>
      <c r="N209" s="471"/>
      <c r="O209" s="471"/>
      <c r="P209" s="471"/>
      <c r="Q209" s="471"/>
      <c r="R209" s="471"/>
      <c r="S209" s="471"/>
      <c r="T209" s="471"/>
      <c r="U209" s="471"/>
      <c r="V209" s="471"/>
      <c r="W209" s="471"/>
      <c r="X209" s="471"/>
      <c r="Y209" s="471"/>
      <c r="Z209" s="471"/>
      <c r="AA209" s="471"/>
      <c r="AB209" s="471"/>
      <c r="AC209" s="471"/>
      <c r="AD209" s="471"/>
      <c r="AE209" s="471"/>
      <c r="AF209" s="471"/>
      <c r="AG209" s="471"/>
      <c r="AH209" s="471"/>
      <c r="AI209" s="471"/>
      <c r="AJ209" s="471"/>
      <c r="AK209" s="471"/>
      <c r="AL209" s="471"/>
      <c r="AM209" s="471"/>
      <c r="AN209" s="471"/>
      <c r="AO209" s="471"/>
      <c r="AP209" s="471"/>
      <c r="AQ209" s="471"/>
      <c r="AR209" s="471"/>
      <c r="AS209" s="1306"/>
      <c r="AT209" s="471"/>
      <c r="AU209" s="471"/>
      <c r="AV209" s="471"/>
      <c r="AW209" s="471"/>
      <c r="AX209" s="471"/>
      <c r="AY209" s="471"/>
      <c r="AZ209" s="471"/>
      <c r="BB209" s="470">
        <f>SUM(E209:AZ209)</f>
        <v>0</v>
      </c>
      <c r="BC209" s="470">
        <f>+BB209+D209</f>
        <v>0</v>
      </c>
      <c r="BD209" s="444"/>
      <c r="BE209" s="173"/>
      <c r="BF209" s="336"/>
    </row>
    <row r="210" spans="2:58" outlineLevel="1" x14ac:dyDescent="0.35">
      <c r="B210" s="464" t="s">
        <v>56</v>
      </c>
      <c r="C210" s="516" t="s">
        <v>920</v>
      </c>
      <c r="D210" s="470">
        <f>+BC149</f>
        <v>0</v>
      </c>
      <c r="E210" s="1306"/>
      <c r="F210" s="471"/>
      <c r="G210" s="471"/>
      <c r="H210" s="471"/>
      <c r="I210" s="471"/>
      <c r="J210" s="471"/>
      <c r="K210" s="471"/>
      <c r="L210" s="471"/>
      <c r="M210" s="471"/>
      <c r="N210" s="471"/>
      <c r="O210" s="471"/>
      <c r="P210" s="471"/>
      <c r="Q210" s="471"/>
      <c r="R210" s="471"/>
      <c r="S210" s="471"/>
      <c r="T210" s="471"/>
      <c r="U210" s="471"/>
      <c r="V210" s="471"/>
      <c r="W210" s="471"/>
      <c r="X210" s="471"/>
      <c r="Y210" s="471"/>
      <c r="Z210" s="471"/>
      <c r="AA210" s="471"/>
      <c r="AB210" s="471"/>
      <c r="AC210" s="471"/>
      <c r="AD210" s="471"/>
      <c r="AE210" s="471"/>
      <c r="AF210" s="471"/>
      <c r="AG210" s="471"/>
      <c r="AH210" s="471"/>
      <c r="AI210" s="471"/>
      <c r="AJ210" s="471"/>
      <c r="AK210" s="471"/>
      <c r="AL210" s="471"/>
      <c r="AM210" s="471"/>
      <c r="AN210" s="471"/>
      <c r="AO210" s="471"/>
      <c r="AP210" s="471"/>
      <c r="AQ210" s="471"/>
      <c r="AR210" s="471"/>
      <c r="AS210" s="1306"/>
      <c r="AT210" s="471"/>
      <c r="AU210" s="471"/>
      <c r="AV210" s="471"/>
      <c r="AW210" s="471"/>
      <c r="AX210" s="471"/>
      <c r="AY210" s="471"/>
      <c r="AZ210" s="471"/>
      <c r="BB210" s="470">
        <f>SUM(E210:AZ210)</f>
        <v>0</v>
      </c>
      <c r="BC210" s="470">
        <f>+BB210+D210</f>
        <v>0</v>
      </c>
      <c r="BD210" s="444"/>
      <c r="BE210" s="173"/>
      <c r="BF210" s="336"/>
    </row>
    <row r="211" spans="2:58" outlineLevel="1" x14ac:dyDescent="0.35">
      <c r="B211" s="329" t="s">
        <v>57</v>
      </c>
      <c r="C211" s="516" t="s">
        <v>920</v>
      </c>
      <c r="D211" s="470">
        <f>+BC150</f>
        <v>0</v>
      </c>
      <c r="E211" s="1306"/>
      <c r="F211" s="471"/>
      <c r="G211" s="471"/>
      <c r="H211" s="471"/>
      <c r="I211" s="471"/>
      <c r="J211" s="471"/>
      <c r="K211" s="471"/>
      <c r="L211" s="471"/>
      <c r="M211" s="471"/>
      <c r="N211" s="471"/>
      <c r="O211" s="471"/>
      <c r="P211" s="471"/>
      <c r="Q211" s="471"/>
      <c r="R211" s="471"/>
      <c r="S211" s="471"/>
      <c r="T211" s="471"/>
      <c r="U211" s="471"/>
      <c r="V211" s="471"/>
      <c r="W211" s="471"/>
      <c r="X211" s="471"/>
      <c r="Y211" s="471"/>
      <c r="Z211" s="471"/>
      <c r="AA211" s="471"/>
      <c r="AB211" s="471"/>
      <c r="AC211" s="471"/>
      <c r="AD211" s="471"/>
      <c r="AE211" s="471"/>
      <c r="AF211" s="471"/>
      <c r="AG211" s="471"/>
      <c r="AH211" s="471"/>
      <c r="AI211" s="471"/>
      <c r="AJ211" s="471"/>
      <c r="AK211" s="471"/>
      <c r="AL211" s="471"/>
      <c r="AM211" s="471"/>
      <c r="AN211" s="471"/>
      <c r="AO211" s="471"/>
      <c r="AP211" s="471"/>
      <c r="AQ211" s="471"/>
      <c r="AR211" s="471"/>
      <c r="AS211" s="1306"/>
      <c r="AT211" s="471"/>
      <c r="AU211" s="471"/>
      <c r="AV211" s="471"/>
      <c r="AW211" s="471"/>
      <c r="AX211" s="471"/>
      <c r="AY211" s="471"/>
      <c r="AZ211" s="471"/>
      <c r="BB211" s="470">
        <f>SUM(E211:AZ211)</f>
        <v>0</v>
      </c>
      <c r="BC211" s="470">
        <f>+BB211+D211</f>
        <v>0</v>
      </c>
      <c r="BD211" s="444"/>
      <c r="BE211" s="173"/>
      <c r="BF211" s="336"/>
    </row>
    <row r="212" spans="2:58" outlineLevel="1" x14ac:dyDescent="0.35">
      <c r="B212" s="464" t="s">
        <v>1</v>
      </c>
      <c r="C212" s="516" t="s">
        <v>920</v>
      </c>
      <c r="D212" s="477">
        <f>SUM(D207:D211)</f>
        <v>0</v>
      </c>
      <c r="E212" s="1310">
        <f t="shared" ref="E212:AR212" si="161">SUM(E207:E211)</f>
        <v>0</v>
      </c>
      <c r="F212" s="478">
        <f t="shared" si="161"/>
        <v>0</v>
      </c>
      <c r="G212" s="478">
        <f t="shared" si="161"/>
        <v>0</v>
      </c>
      <c r="H212" s="478">
        <f t="shared" si="161"/>
        <v>0</v>
      </c>
      <c r="I212" s="478">
        <f t="shared" si="161"/>
        <v>0</v>
      </c>
      <c r="J212" s="478">
        <f t="shared" si="161"/>
        <v>0</v>
      </c>
      <c r="K212" s="478">
        <f t="shared" si="161"/>
        <v>0</v>
      </c>
      <c r="L212" s="478">
        <f t="shared" si="161"/>
        <v>0</v>
      </c>
      <c r="M212" s="478">
        <f t="shared" si="161"/>
        <v>0</v>
      </c>
      <c r="N212" s="478">
        <f t="shared" si="161"/>
        <v>0</v>
      </c>
      <c r="O212" s="478">
        <f t="shared" si="161"/>
        <v>0</v>
      </c>
      <c r="P212" s="478">
        <f t="shared" si="161"/>
        <v>0</v>
      </c>
      <c r="Q212" s="478">
        <f t="shared" si="161"/>
        <v>0</v>
      </c>
      <c r="R212" s="478">
        <f t="shared" si="161"/>
        <v>0</v>
      </c>
      <c r="S212" s="478">
        <f t="shared" si="161"/>
        <v>0</v>
      </c>
      <c r="T212" s="478">
        <f t="shared" si="161"/>
        <v>0</v>
      </c>
      <c r="U212" s="478">
        <f t="shared" si="161"/>
        <v>0</v>
      </c>
      <c r="V212" s="478">
        <f t="shared" si="161"/>
        <v>0</v>
      </c>
      <c r="W212" s="478">
        <f t="shared" si="161"/>
        <v>0</v>
      </c>
      <c r="X212" s="478">
        <f t="shared" si="161"/>
        <v>0</v>
      </c>
      <c r="Y212" s="478">
        <f t="shared" si="161"/>
        <v>0</v>
      </c>
      <c r="Z212" s="478">
        <f t="shared" si="161"/>
        <v>0</v>
      </c>
      <c r="AA212" s="478">
        <f t="shared" si="161"/>
        <v>0</v>
      </c>
      <c r="AB212" s="478">
        <f t="shared" si="161"/>
        <v>0</v>
      </c>
      <c r="AC212" s="478">
        <f t="shared" si="161"/>
        <v>0</v>
      </c>
      <c r="AD212" s="478">
        <f t="shared" ref="AD212" si="162">SUM(AD207:AD211)</f>
        <v>0</v>
      </c>
      <c r="AE212" s="478">
        <f t="shared" si="161"/>
        <v>0</v>
      </c>
      <c r="AF212" s="478">
        <f t="shared" si="161"/>
        <v>0</v>
      </c>
      <c r="AG212" s="478">
        <f t="shared" si="161"/>
        <v>0</v>
      </c>
      <c r="AH212" s="478">
        <f t="shared" ref="AH212:AJ212" si="163">SUM(AH207:AH211)</f>
        <v>0</v>
      </c>
      <c r="AI212" s="478">
        <f t="shared" si="163"/>
        <v>0</v>
      </c>
      <c r="AJ212" s="478">
        <f t="shared" si="163"/>
        <v>0</v>
      </c>
      <c r="AK212" s="478">
        <f t="shared" si="161"/>
        <v>0</v>
      </c>
      <c r="AL212" s="478">
        <f t="shared" si="161"/>
        <v>0</v>
      </c>
      <c r="AM212" s="479">
        <f t="shared" ref="AM212:AN212" si="164">SUM(AM207:AM211)</f>
        <v>0</v>
      </c>
      <c r="AN212" s="479">
        <f t="shared" si="164"/>
        <v>0</v>
      </c>
      <c r="AO212" s="479">
        <f t="shared" ref="AO212" si="165">SUM(AO207:AO211)</f>
        <v>0</v>
      </c>
      <c r="AP212" s="478">
        <f t="shared" si="161"/>
        <v>0</v>
      </c>
      <c r="AQ212" s="478">
        <f t="shared" si="161"/>
        <v>0</v>
      </c>
      <c r="AR212" s="478">
        <f t="shared" si="161"/>
        <v>0</v>
      </c>
      <c r="AS212" s="1310">
        <f t="shared" ref="AS212" si="166">SUM(AS207:AS211)</f>
        <v>0</v>
      </c>
      <c r="AT212" s="478"/>
      <c r="AU212" s="478"/>
      <c r="AV212" s="478"/>
      <c r="AW212" s="478"/>
      <c r="AX212" s="478"/>
      <c r="AY212" s="478"/>
      <c r="AZ212" s="478"/>
      <c r="BB212" s="477">
        <f>SUM(BB207:BB211)</f>
        <v>0</v>
      </c>
      <c r="BC212" s="477">
        <f>SUM(BC207:BC211)</f>
        <v>0</v>
      </c>
      <c r="BD212" s="444"/>
      <c r="BE212" s="173"/>
      <c r="BF212" s="336"/>
    </row>
    <row r="213" spans="2:58" outlineLevel="1" x14ac:dyDescent="0.35">
      <c r="B213" s="464"/>
      <c r="C213" s="516" t="s">
        <v>920</v>
      </c>
      <c r="D213" s="476"/>
      <c r="E213" s="1309"/>
      <c r="F213" s="420"/>
      <c r="G213" s="420"/>
      <c r="H213" s="420"/>
      <c r="I213" s="420"/>
      <c r="J213" s="420"/>
      <c r="K213" s="420"/>
      <c r="L213" s="420"/>
      <c r="M213" s="420"/>
      <c r="N213" s="420"/>
      <c r="O213" s="420"/>
      <c r="P213" s="420"/>
      <c r="Q213" s="420"/>
      <c r="R213" s="420"/>
      <c r="S213" s="420"/>
      <c r="T213" s="420"/>
      <c r="U213" s="420"/>
      <c r="V213" s="420"/>
      <c r="W213" s="420"/>
      <c r="X213" s="420"/>
      <c r="Y213" s="420"/>
      <c r="Z213" s="420"/>
      <c r="AA213" s="420"/>
      <c r="AB213" s="420"/>
      <c r="AC213" s="420"/>
      <c r="AD213" s="420"/>
      <c r="AE213" s="420"/>
      <c r="AF213" s="420"/>
      <c r="AG213" s="420"/>
      <c r="AH213" s="420"/>
      <c r="AI213" s="420"/>
      <c r="AJ213" s="420"/>
      <c r="AK213" s="420"/>
      <c r="AL213" s="420"/>
      <c r="AM213" s="173"/>
      <c r="AN213" s="420"/>
      <c r="AO213" s="420"/>
      <c r="AP213" s="420"/>
      <c r="AQ213" s="420"/>
      <c r="AR213" s="420"/>
      <c r="AS213" s="1309"/>
      <c r="AT213" s="420"/>
      <c r="AU213" s="420"/>
      <c r="AV213" s="420"/>
      <c r="AW213" s="420"/>
      <c r="AX213" s="420"/>
      <c r="AY213" s="420"/>
      <c r="AZ213" s="420"/>
      <c r="BB213" s="476"/>
      <c r="BC213" s="476"/>
      <c r="BD213" s="444"/>
      <c r="BE213" s="173"/>
      <c r="BF213" s="336"/>
    </row>
    <row r="214" spans="2:58" outlineLevel="1" x14ac:dyDescent="0.35">
      <c r="B214" s="480" t="s">
        <v>59</v>
      </c>
      <c r="C214" s="516" t="s">
        <v>920</v>
      </c>
      <c r="D214" s="470">
        <f t="shared" ref="D214:D227" si="167">+BC153</f>
        <v>7876060.1918395003</v>
      </c>
      <c r="E214" s="1309"/>
      <c r="F214" s="420"/>
      <c r="G214" s="420"/>
      <c r="H214" s="420"/>
      <c r="I214" s="420"/>
      <c r="J214" s="420"/>
      <c r="K214" s="420"/>
      <c r="L214" s="420"/>
      <c r="M214" s="420"/>
      <c r="N214" s="420"/>
      <c r="O214" s="420">
        <f>'Common Adj'!GI18+'Common Adj'!GI17+'Common Adj'!GI19</f>
        <v>1785.7888880723513</v>
      </c>
      <c r="P214" s="420"/>
      <c r="Q214" s="420"/>
      <c r="R214" s="420"/>
      <c r="S214" s="420"/>
      <c r="T214" s="420"/>
      <c r="U214" s="420"/>
      <c r="V214" s="420"/>
      <c r="W214" s="420"/>
      <c r="X214" s="420"/>
      <c r="Y214" s="420"/>
      <c r="Z214" s="518">
        <f>'Common Adj'!NY$16</f>
        <v>358964.49331030715</v>
      </c>
      <c r="AA214" s="420"/>
      <c r="AB214" s="420"/>
      <c r="AC214" s="420"/>
      <c r="AD214" s="420"/>
      <c r="AE214" s="420"/>
      <c r="AF214" s="420"/>
      <c r="AG214" s="420"/>
      <c r="AH214" s="420"/>
      <c r="AI214" s="420"/>
      <c r="AJ214" s="420"/>
      <c r="AK214" s="420"/>
      <c r="AL214" s="420"/>
      <c r="AM214" s="471"/>
      <c r="AN214" s="420"/>
      <c r="AO214" s="420"/>
      <c r="AP214" s="420"/>
      <c r="AQ214" s="420"/>
      <c r="AR214" s="420"/>
      <c r="AS214" s="1309"/>
      <c r="AT214" s="420"/>
      <c r="AU214" s="420"/>
      <c r="AV214" s="420"/>
      <c r="AW214" s="420"/>
      <c r="AX214" s="420"/>
      <c r="AY214" s="420"/>
      <c r="AZ214" s="420"/>
      <c r="BB214" s="470">
        <f t="shared" ref="BB214:BB227" si="168">SUM(E214:AZ214)</f>
        <v>360750.28219837951</v>
      </c>
      <c r="BC214" s="476">
        <f t="shared" ref="BC214:BC227" si="169">+BB214+D214</f>
        <v>8236810.4740378801</v>
      </c>
      <c r="BD214" s="444"/>
      <c r="BE214" s="173"/>
      <c r="BF214" s="336"/>
    </row>
    <row r="215" spans="2:58" outlineLevel="1" x14ac:dyDescent="0.35">
      <c r="B215" s="464" t="s">
        <v>60</v>
      </c>
      <c r="C215" s="516" t="s">
        <v>920</v>
      </c>
      <c r="D215" s="470">
        <f t="shared" si="167"/>
        <v>0</v>
      </c>
      <c r="E215" s="1306"/>
      <c r="F215" s="471"/>
      <c r="G215" s="471"/>
      <c r="H215" s="471"/>
      <c r="I215" s="471"/>
      <c r="J215" s="471"/>
      <c r="K215" s="471"/>
      <c r="L215" s="471"/>
      <c r="M215" s="471"/>
      <c r="N215" s="471"/>
      <c r="O215" s="471">
        <f>+'Common Adj'!GI20</f>
        <v>0</v>
      </c>
      <c r="P215" s="471"/>
      <c r="Q215" s="471"/>
      <c r="R215" s="471"/>
      <c r="S215" s="471"/>
      <c r="T215" s="471"/>
      <c r="U215" s="471"/>
      <c r="V215" s="471"/>
      <c r="W215" s="471"/>
      <c r="X215" s="471"/>
      <c r="Y215" s="471"/>
      <c r="Z215" s="518">
        <f>'Common Adj'!NY$17</f>
        <v>0</v>
      </c>
      <c r="AA215" s="471"/>
      <c r="AB215" s="471"/>
      <c r="AC215" s="471"/>
      <c r="AD215" s="471"/>
      <c r="AE215" s="471"/>
      <c r="AF215" s="471"/>
      <c r="AG215" s="471"/>
      <c r="AH215" s="471"/>
      <c r="AI215" s="471"/>
      <c r="AJ215" s="471"/>
      <c r="AK215" s="471"/>
      <c r="AL215" s="471"/>
      <c r="AM215" s="471"/>
      <c r="AN215" s="471"/>
      <c r="AO215" s="471"/>
      <c r="AP215" s="471"/>
      <c r="AQ215" s="471"/>
      <c r="AR215" s="471"/>
      <c r="AS215" s="1306"/>
      <c r="AT215" s="471"/>
      <c r="AU215" s="471"/>
      <c r="AV215" s="471"/>
      <c r="AW215" s="471"/>
      <c r="AX215" s="471"/>
      <c r="AY215" s="471"/>
      <c r="AZ215" s="471"/>
      <c r="BB215" s="470">
        <f t="shared" si="168"/>
        <v>0</v>
      </c>
      <c r="BC215" s="470">
        <f t="shared" si="169"/>
        <v>0</v>
      </c>
      <c r="BD215" s="444"/>
      <c r="BE215" s="173"/>
      <c r="BF215" s="336"/>
    </row>
    <row r="216" spans="2:58" outlineLevel="1" x14ac:dyDescent="0.35">
      <c r="B216" s="464" t="s">
        <v>61</v>
      </c>
      <c r="C216" s="516" t="s">
        <v>920</v>
      </c>
      <c r="D216" s="470">
        <f t="shared" si="167"/>
        <v>64491416.290939584</v>
      </c>
      <c r="E216" s="1306"/>
      <c r="F216" s="471"/>
      <c r="G216" s="471"/>
      <c r="H216" s="471"/>
      <c r="I216" s="471"/>
      <c r="J216" s="471"/>
      <c r="K216" s="471"/>
      <c r="L216" s="471"/>
      <c r="M216" s="471"/>
      <c r="N216" s="471"/>
      <c r="O216" s="471">
        <f>+'Common Adj'!GI21</f>
        <v>10668.579249151284</v>
      </c>
      <c r="P216" s="471"/>
      <c r="Q216" s="471"/>
      <c r="R216" s="471"/>
      <c r="S216" s="471"/>
      <c r="T216" s="471"/>
      <c r="U216" s="471"/>
      <c r="V216" s="471"/>
      <c r="W216" s="471"/>
      <c r="X216" s="471"/>
      <c r="Y216" s="471"/>
      <c r="Z216" s="518">
        <f>'Common Adj'!NY$18</f>
        <v>24179953.99166318</v>
      </c>
      <c r="AA216" s="471"/>
      <c r="AB216" s="471"/>
      <c r="AC216" s="471"/>
      <c r="AD216" s="471"/>
      <c r="AE216" s="471"/>
      <c r="AF216" s="471"/>
      <c r="AG216" s="471"/>
      <c r="AH216" s="471"/>
      <c r="AI216" s="471"/>
      <c r="AJ216" s="471"/>
      <c r="AK216" s="471"/>
      <c r="AL216" s="471"/>
      <c r="AM216" s="471"/>
      <c r="AN216" s="471"/>
      <c r="AO216" s="471"/>
      <c r="AP216" s="471"/>
      <c r="AQ216" s="471"/>
      <c r="AR216" s="471"/>
      <c r="AS216" s="1306"/>
      <c r="AT216" s="471"/>
      <c r="AU216" s="471"/>
      <c r="AV216" s="471"/>
      <c r="AW216" s="471"/>
      <c r="AX216" s="471"/>
      <c r="AY216" s="471"/>
      <c r="AZ216" s="471"/>
      <c r="BB216" s="470">
        <f t="shared" si="168"/>
        <v>24190622.570912331</v>
      </c>
      <c r="BC216" s="470">
        <f t="shared" si="169"/>
        <v>88682038.861851916</v>
      </c>
      <c r="BD216" s="444"/>
      <c r="BE216" s="173"/>
      <c r="BF216" s="336"/>
    </row>
    <row r="217" spans="2:58" outlineLevel="1" x14ac:dyDescent="0.35">
      <c r="B217" s="464" t="s">
        <v>62</v>
      </c>
      <c r="C217" s="516" t="s">
        <v>920</v>
      </c>
      <c r="D217" s="470">
        <f t="shared" si="167"/>
        <v>23502556.576534674</v>
      </c>
      <c r="E217" s="1306">
        <f>'Common Adj'!$K$64</f>
        <v>-10419.933005999999</v>
      </c>
      <c r="F217" s="471"/>
      <c r="G217" s="471"/>
      <c r="H217" s="471"/>
      <c r="I217" s="471"/>
      <c r="J217" s="471"/>
      <c r="K217" s="471"/>
      <c r="L217" s="471"/>
      <c r="M217" s="471"/>
      <c r="N217" s="471"/>
      <c r="O217" s="471">
        <f>+'Common Adj'!GI22</f>
        <v>2384.4034893848002</v>
      </c>
      <c r="P217" s="471"/>
      <c r="Q217" s="471"/>
      <c r="R217" s="471"/>
      <c r="S217" s="471"/>
      <c r="T217" s="471"/>
      <c r="U217" s="471"/>
      <c r="V217" s="471"/>
      <c r="W217" s="471"/>
      <c r="X217" s="471"/>
      <c r="Y217" s="471"/>
      <c r="Z217" s="518">
        <f>'Common Adj'!NY$19</f>
        <v>-7167323.3995859604</v>
      </c>
      <c r="AA217" s="471"/>
      <c r="AB217" s="471"/>
      <c r="AC217" s="471"/>
      <c r="AD217" s="471"/>
      <c r="AE217" s="471"/>
      <c r="AF217" s="471"/>
      <c r="AG217" s="471"/>
      <c r="AH217" s="471"/>
      <c r="AI217" s="471"/>
      <c r="AJ217" s="471"/>
      <c r="AK217" s="471"/>
      <c r="AL217" s="471"/>
      <c r="AM217" s="471"/>
      <c r="AN217" s="471"/>
      <c r="AO217" s="471"/>
      <c r="AP217" s="471"/>
      <c r="AQ217" s="471"/>
      <c r="AR217" s="471"/>
      <c r="AS217" s="1306"/>
      <c r="AT217" s="471"/>
      <c r="AU217" s="471"/>
      <c r="AV217" s="471"/>
      <c r="AW217" s="471"/>
      <c r="AX217" s="471"/>
      <c r="AY217" s="471"/>
      <c r="AZ217" s="471"/>
      <c r="BB217" s="470">
        <f t="shared" si="168"/>
        <v>-7175358.9291025754</v>
      </c>
      <c r="BC217" s="470">
        <f t="shared" si="169"/>
        <v>16327197.647432098</v>
      </c>
      <c r="BD217" s="444"/>
      <c r="BE217" s="173"/>
      <c r="BF217" s="336"/>
    </row>
    <row r="218" spans="2:58" outlineLevel="1" x14ac:dyDescent="0.35">
      <c r="B218" s="464" t="s">
        <v>63</v>
      </c>
      <c r="C218" s="516" t="s">
        <v>920</v>
      </c>
      <c r="D218" s="470">
        <f t="shared" si="167"/>
        <v>2401812.2597524063</v>
      </c>
      <c r="E218" s="1306"/>
      <c r="F218" s="471"/>
      <c r="G218" s="471"/>
      <c r="H218" s="471"/>
      <c r="I218" s="471"/>
      <c r="J218" s="471"/>
      <c r="K218" s="471"/>
      <c r="L218" s="471"/>
      <c r="M218" s="471"/>
      <c r="N218" s="471"/>
      <c r="O218" s="471">
        <f>+'Common Adj'!GI23+'Common Adj'!GI24</f>
        <v>411.13184936948846</v>
      </c>
      <c r="P218" s="471"/>
      <c r="Q218" s="471"/>
      <c r="R218" s="471"/>
      <c r="S218" s="471"/>
      <c r="T218" s="471"/>
      <c r="U218" s="471"/>
      <c r="V218" s="471"/>
      <c r="W218" s="471"/>
      <c r="X218" s="471"/>
      <c r="Y218" s="471"/>
      <c r="Z218" s="518">
        <f>'Common Adj'!NY$20</f>
        <v>-527180.86679653171</v>
      </c>
      <c r="AA218" s="471"/>
      <c r="AB218" s="471"/>
      <c r="AC218" s="471"/>
      <c r="AD218" s="471"/>
      <c r="AE218" s="471"/>
      <c r="AF218" s="471"/>
      <c r="AG218" s="471"/>
      <c r="AH218" s="471"/>
      <c r="AI218" s="471"/>
      <c r="AJ218" s="471"/>
      <c r="AK218" s="471"/>
      <c r="AL218" s="471"/>
      <c r="AM218" s="471"/>
      <c r="AN218" s="471"/>
      <c r="AO218" s="471"/>
      <c r="AP218" s="471"/>
      <c r="AQ218" s="471"/>
      <c r="AR218" s="471"/>
      <c r="AS218" s="1306"/>
      <c r="AT218" s="471"/>
      <c r="AU218" s="471"/>
      <c r="AV218" s="471"/>
      <c r="AW218" s="471"/>
      <c r="AX218" s="471"/>
      <c r="AY218" s="471"/>
      <c r="AZ218" s="471"/>
      <c r="BB218" s="470">
        <f t="shared" si="168"/>
        <v>-526769.73494716221</v>
      </c>
      <c r="BC218" s="470">
        <f t="shared" si="169"/>
        <v>1875042.5248052441</v>
      </c>
      <c r="BD218" s="444"/>
      <c r="BE218" s="173"/>
      <c r="BF218" s="336"/>
    </row>
    <row r="219" spans="2:58" outlineLevel="1" x14ac:dyDescent="0.35">
      <c r="B219" s="464" t="s">
        <v>64</v>
      </c>
      <c r="C219" s="516" t="s">
        <v>920</v>
      </c>
      <c r="D219" s="470">
        <f t="shared" si="167"/>
        <v>0</v>
      </c>
      <c r="E219" s="1306"/>
      <c r="F219" s="471"/>
      <c r="G219" s="471"/>
      <c r="H219" s="471"/>
      <c r="I219" s="471"/>
      <c r="J219" s="471"/>
      <c r="K219" s="471"/>
      <c r="L219" s="471"/>
      <c r="M219" s="471"/>
      <c r="N219" s="471"/>
      <c r="O219" s="471"/>
      <c r="P219" s="471"/>
      <c r="Q219" s="471"/>
      <c r="R219" s="471"/>
      <c r="S219" s="471"/>
      <c r="T219" s="471"/>
      <c r="U219" s="471"/>
      <c r="V219" s="471"/>
      <c r="W219" s="471"/>
      <c r="X219" s="471"/>
      <c r="Y219" s="471"/>
      <c r="Z219" s="518">
        <f>'Common Adj'!NY$21</f>
        <v>0</v>
      </c>
      <c r="AA219" s="471"/>
      <c r="AB219" s="471"/>
      <c r="AC219" s="471"/>
      <c r="AD219" s="471"/>
      <c r="AE219" s="471"/>
      <c r="AF219" s="471"/>
      <c r="AG219" s="471"/>
      <c r="AH219" s="471"/>
      <c r="AI219" s="471"/>
      <c r="AJ219" s="471"/>
      <c r="AK219" s="471"/>
      <c r="AL219" s="471"/>
      <c r="AM219" s="471"/>
      <c r="AN219" s="471"/>
      <c r="AO219" s="471"/>
      <c r="AP219" s="471"/>
      <c r="AQ219" s="471"/>
      <c r="AR219" s="471"/>
      <c r="AS219" s="1306"/>
      <c r="AT219" s="471"/>
      <c r="AU219" s="471"/>
      <c r="AV219" s="471"/>
      <c r="AW219" s="471"/>
      <c r="AX219" s="471"/>
      <c r="AY219" s="471"/>
      <c r="AZ219" s="471"/>
      <c r="BB219" s="470">
        <f t="shared" si="168"/>
        <v>0</v>
      </c>
      <c r="BC219" s="470">
        <f t="shared" si="169"/>
        <v>0</v>
      </c>
      <c r="BD219" s="444"/>
      <c r="BE219" s="173"/>
      <c r="BF219" s="336"/>
    </row>
    <row r="220" spans="2:58" outlineLevel="1" x14ac:dyDescent="0.35">
      <c r="B220" s="464" t="s">
        <v>65</v>
      </c>
      <c r="C220" s="516" t="s">
        <v>920</v>
      </c>
      <c r="D220" s="470">
        <f t="shared" si="167"/>
        <v>73987598.062147081</v>
      </c>
      <c r="E220" s="1306">
        <f>'Common Adj'!$K$65</f>
        <v>-14417.064</v>
      </c>
      <c r="F220" s="471"/>
      <c r="G220" s="471"/>
      <c r="H220" s="471"/>
      <c r="I220" s="471"/>
      <c r="J220" s="471"/>
      <c r="K220" s="471"/>
      <c r="L220" s="471"/>
      <c r="M220" s="471"/>
      <c r="N220" s="471"/>
      <c r="O220" s="471">
        <f>+'Common Adj'!GI25</f>
        <v>7144.4767995857401</v>
      </c>
      <c r="P220" s="471"/>
      <c r="Q220" s="471"/>
      <c r="R220" s="471"/>
      <c r="S220" s="471"/>
      <c r="T220" s="471"/>
      <c r="U220" s="471"/>
      <c r="V220" s="471"/>
      <c r="W220" s="471"/>
      <c r="X220" s="471"/>
      <c r="Y220" s="471"/>
      <c r="Z220" s="518">
        <f>'Common Adj'!NY$22</f>
        <v>-10756844.233188458</v>
      </c>
      <c r="AA220" s="471"/>
      <c r="AB220" s="471"/>
      <c r="AC220" s="471"/>
      <c r="AD220" s="471"/>
      <c r="AE220" s="471"/>
      <c r="AF220" s="471"/>
      <c r="AG220" s="471"/>
      <c r="AH220" s="471"/>
      <c r="AI220" s="471"/>
      <c r="AJ220" s="471"/>
      <c r="AK220" s="471"/>
      <c r="AL220" s="471"/>
      <c r="AM220" s="471">
        <f>'Common Adj'!TO18</f>
        <v>62000</v>
      </c>
      <c r="AN220" s="471"/>
      <c r="AO220" s="471">
        <f>'Common Adj'!WI18</f>
        <v>403758.88800190948</v>
      </c>
      <c r="AP220" s="471"/>
      <c r="AQ220" s="471"/>
      <c r="AR220" s="471"/>
      <c r="AS220" s="1306"/>
      <c r="AT220" s="471"/>
      <c r="AU220" s="471"/>
      <c r="AV220" s="471"/>
      <c r="AW220" s="471"/>
      <c r="AX220" s="471"/>
      <c r="AY220" s="471"/>
      <c r="AZ220" s="471"/>
      <c r="BB220" s="470">
        <f t="shared" si="168"/>
        <v>-10298357.932386963</v>
      </c>
      <c r="BC220" s="470">
        <f t="shared" si="169"/>
        <v>63689240.129760116</v>
      </c>
      <c r="BD220" s="444"/>
      <c r="BE220" s="173"/>
      <c r="BF220" s="336"/>
    </row>
    <row r="221" spans="2:58" outlineLevel="1" x14ac:dyDescent="0.35">
      <c r="B221" s="464" t="s">
        <v>66</v>
      </c>
      <c r="C221" s="516" t="s">
        <v>920</v>
      </c>
      <c r="D221" s="470">
        <f t="shared" si="167"/>
        <v>176765994.47247931</v>
      </c>
      <c r="E221" s="1308"/>
      <c r="F221" s="341"/>
      <c r="G221" s="341"/>
      <c r="H221" s="341"/>
      <c r="I221" s="341"/>
      <c r="J221" s="341"/>
      <c r="K221" s="341"/>
      <c r="L221" s="341"/>
      <c r="M221" s="341"/>
      <c r="N221" s="341"/>
      <c r="O221" s="341"/>
      <c r="P221" s="341"/>
      <c r="Q221" s="341"/>
      <c r="R221" s="341"/>
      <c r="S221" s="341"/>
      <c r="T221" s="341"/>
      <c r="U221" s="341"/>
      <c r="V221" s="341"/>
      <c r="W221" s="341"/>
      <c r="X221" s="341"/>
      <c r="Y221" s="341"/>
      <c r="Z221" s="518"/>
      <c r="AA221" s="341"/>
      <c r="AB221" s="341"/>
      <c r="AC221" s="341"/>
      <c r="AD221" s="341"/>
      <c r="AE221" s="472">
        <f>'Common Adj'!RL17+'Common Adj'!RL18</f>
        <v>70461019.660000026</v>
      </c>
      <c r="AF221" s="472">
        <f>'Common Adj'!SD16+'Common Adj'!SD17</f>
        <v>-629245.79000000108</v>
      </c>
      <c r="AG221" s="472">
        <f>'Common Adj'!$SV$16+'Common Adj'!$SV$17</f>
        <v>8204929.9781749994</v>
      </c>
      <c r="AH221" s="472">
        <f>'Common Adj'!$SV$34+'Common Adj'!$SV$35</f>
        <v>4652973.419999999</v>
      </c>
      <c r="AI221" s="472">
        <f>'Common Adj'!$SV$52+'Common Adj'!$SV$53</f>
        <v>449917.27</v>
      </c>
      <c r="AJ221" s="472">
        <f>'Common Adj'!$SV$70+'Common Adj'!$SV$71</f>
        <v>2232184.6286599999</v>
      </c>
      <c r="AK221" s="341"/>
      <c r="AL221" s="341"/>
      <c r="AM221" s="471"/>
      <c r="AN221" s="341"/>
      <c r="AO221" s="341"/>
      <c r="AP221" s="341"/>
      <c r="AQ221" s="341"/>
      <c r="AR221" s="471">
        <f>'Gas Adj'!CW25</f>
        <v>-542973.59425955813</v>
      </c>
      <c r="AS221" s="1306">
        <f>'Gas Adj'!DF25</f>
        <v>0</v>
      </c>
      <c r="AT221" s="420"/>
      <c r="AU221" s="341"/>
      <c r="AV221" s="341"/>
      <c r="AW221" s="356"/>
      <c r="AX221" s="518"/>
      <c r="AY221" s="341"/>
      <c r="AZ221" s="341"/>
      <c r="BB221" s="470">
        <f t="shared" si="168"/>
        <v>84828805.57257545</v>
      </c>
      <c r="BC221" s="470">
        <f t="shared" si="169"/>
        <v>261594800.04505476</v>
      </c>
      <c r="BD221" s="444"/>
      <c r="BE221" s="173"/>
      <c r="BF221" s="336"/>
    </row>
    <row r="222" spans="2:58" outlineLevel="1" x14ac:dyDescent="0.35">
      <c r="B222" s="464" t="s">
        <v>67</v>
      </c>
      <c r="C222" s="516" t="s">
        <v>920</v>
      </c>
      <c r="D222" s="470">
        <f t="shared" si="167"/>
        <v>30160635.290589862</v>
      </c>
      <c r="E222" s="1306"/>
      <c r="F222" s="471"/>
      <c r="G222" s="471"/>
      <c r="H222" s="471"/>
      <c r="I222" s="471"/>
      <c r="J222" s="471"/>
      <c r="K222" s="471"/>
      <c r="L222" s="471"/>
      <c r="M222" s="471"/>
      <c r="N222" s="471"/>
      <c r="O222" s="471"/>
      <c r="P222" s="471"/>
      <c r="Q222" s="471"/>
      <c r="R222" s="471"/>
      <c r="S222" s="471"/>
      <c r="T222" s="471"/>
      <c r="U222" s="471"/>
      <c r="V222" s="471"/>
      <c r="W222" s="471"/>
      <c r="X222" s="471"/>
      <c r="Y222" s="471"/>
      <c r="Z222" s="720"/>
      <c r="AA222" s="471"/>
      <c r="AB222" s="471"/>
      <c r="AC222" s="471"/>
      <c r="AD222" s="471"/>
      <c r="AE222" s="471">
        <f>'Common Adj'!RL19+'Common Adj'!RL20</f>
        <v>-3062806.8819949329</v>
      </c>
      <c r="AF222" s="471">
        <f>'Common Adj'!SD18+'Common Adj'!SD19</f>
        <v>0</v>
      </c>
      <c r="AG222" s="472">
        <f>'Common Adj'!$SV$18+'Common Adj'!$SV$19</f>
        <v>2452034.6808850002</v>
      </c>
      <c r="AH222" s="472">
        <f>'Common Adj'!$SV$36+'Common Adj'!$SV$37</f>
        <v>0</v>
      </c>
      <c r="AI222" s="472">
        <f>'Common Adj'!$SV$54+'Common Adj'!$SV$55</f>
        <v>0</v>
      </c>
      <c r="AJ222" s="472">
        <f>'Common Adj'!$SV$72+'Common Adj'!$SV$73</f>
        <v>6947361.4933500001</v>
      </c>
      <c r="AK222" s="471"/>
      <c r="AL222" s="471"/>
      <c r="AM222" s="471"/>
      <c r="AN222" s="471">
        <f>'Common Adj'!VT29</f>
        <v>0</v>
      </c>
      <c r="AO222" s="471"/>
      <c r="AP222" s="471"/>
      <c r="AQ222" s="471"/>
      <c r="AR222" s="471">
        <f>'Gas Adj'!CW26</f>
        <v>-117906.41138000003</v>
      </c>
      <c r="AS222" s="1306">
        <f>'Gas Adj'!DF26</f>
        <v>0</v>
      </c>
      <c r="AT222" s="471"/>
      <c r="AU222" s="471"/>
      <c r="AV222" s="471"/>
      <c r="AW222" s="471"/>
      <c r="AX222" s="471"/>
      <c r="AY222" s="471"/>
      <c r="AZ222" s="471"/>
      <c r="BB222" s="470">
        <f t="shared" si="168"/>
        <v>6218682.880860067</v>
      </c>
      <c r="BC222" s="470">
        <f t="shared" si="169"/>
        <v>36379318.171449929</v>
      </c>
      <c r="BD222" s="444"/>
      <c r="BE222" s="173"/>
      <c r="BF222" s="336"/>
    </row>
    <row r="223" spans="2:58" outlineLevel="1" x14ac:dyDescent="0.35">
      <c r="B223" s="480" t="s">
        <v>68</v>
      </c>
      <c r="C223" s="516" t="s">
        <v>920</v>
      </c>
      <c r="D223" s="470">
        <f t="shared" si="167"/>
        <v>0</v>
      </c>
      <c r="E223" s="1306"/>
      <c r="F223" s="471"/>
      <c r="G223" s="471"/>
      <c r="H223" s="471"/>
      <c r="I223" s="471"/>
      <c r="J223" s="471"/>
      <c r="K223" s="471"/>
      <c r="L223" s="471"/>
      <c r="M223" s="471"/>
      <c r="N223" s="471"/>
      <c r="O223" s="471"/>
      <c r="P223" s="471"/>
      <c r="Q223" s="471"/>
      <c r="R223" s="471"/>
      <c r="S223" s="471"/>
      <c r="T223" s="471"/>
      <c r="U223" s="471"/>
      <c r="V223" s="471"/>
      <c r="W223" s="471"/>
      <c r="X223" s="471"/>
      <c r="Y223" s="471"/>
      <c r="Z223" s="720"/>
      <c r="AA223" s="471"/>
      <c r="AB223" s="471"/>
      <c r="AC223" s="471"/>
      <c r="AD223" s="471"/>
      <c r="AE223" s="471"/>
      <c r="AF223" s="471"/>
      <c r="AG223" s="472"/>
      <c r="AH223" s="472"/>
      <c r="AI223" s="472"/>
      <c r="AJ223" s="472"/>
      <c r="AK223" s="471"/>
      <c r="AL223" s="471"/>
      <c r="AM223" s="471"/>
      <c r="AN223" s="471"/>
      <c r="AO223" s="471"/>
      <c r="AP223" s="471"/>
      <c r="AQ223" s="471"/>
      <c r="AR223" s="471"/>
      <c r="AS223" s="1306"/>
      <c r="AT223" s="471"/>
      <c r="AU223" s="471"/>
      <c r="AV223" s="471"/>
      <c r="AW223" s="471"/>
      <c r="AX223" s="471"/>
      <c r="AY223" s="471"/>
      <c r="AZ223" s="471"/>
      <c r="BB223" s="470">
        <f t="shared" si="168"/>
        <v>0</v>
      </c>
      <c r="BC223" s="470">
        <f t="shared" si="169"/>
        <v>0</v>
      </c>
      <c r="BD223" s="444"/>
      <c r="BE223" s="173"/>
      <c r="BF223" s="336"/>
    </row>
    <row r="224" spans="2:58" outlineLevel="1" x14ac:dyDescent="0.35">
      <c r="B224" s="464" t="s">
        <v>69</v>
      </c>
      <c r="C224" s="516" t="s">
        <v>920</v>
      </c>
      <c r="D224" s="470">
        <f t="shared" si="167"/>
        <v>15450871.185612418</v>
      </c>
      <c r="E224" s="1306"/>
      <c r="F224" s="471"/>
      <c r="G224" s="471"/>
      <c r="H224" s="471"/>
      <c r="I224" s="471"/>
      <c r="J224" s="471"/>
      <c r="K224" s="471"/>
      <c r="L224" s="471"/>
      <c r="M224" s="471"/>
      <c r="N224" s="471"/>
      <c r="O224" s="471"/>
      <c r="P224" s="471"/>
      <c r="Q224" s="471"/>
      <c r="R224" s="471"/>
      <c r="S224" s="471"/>
      <c r="T224" s="471"/>
      <c r="U224" s="471"/>
      <c r="V224" s="471"/>
      <c r="W224" s="471"/>
      <c r="X224" s="471"/>
      <c r="Y224" s="471"/>
      <c r="Z224" s="518"/>
      <c r="AA224" s="471"/>
      <c r="AB224" s="471">
        <f>+'Common Adj'!PI48</f>
        <v>4718449.8108259197</v>
      </c>
      <c r="AC224" s="471">
        <f>'Common Adj'!QA17</f>
        <v>-1729712.4673011312</v>
      </c>
      <c r="AD224" s="471"/>
      <c r="AE224" s="471"/>
      <c r="AF224" s="471"/>
      <c r="AG224" s="472"/>
      <c r="AH224" s="472"/>
      <c r="AI224" s="472"/>
      <c r="AJ224" s="472"/>
      <c r="AK224" s="471"/>
      <c r="AL224" s="471">
        <f>'Common Adj'!VA24</f>
        <v>2403256.8895737054</v>
      </c>
      <c r="AM224" s="471"/>
      <c r="AN224" s="471"/>
      <c r="AO224" s="471"/>
      <c r="AP224" s="471">
        <f>'Gas Adj'!BM38+'Gas Adj'!BM42</f>
        <v>0</v>
      </c>
      <c r="AQ224" s="471">
        <f>'Gas Adj'!CE44-'Gas Adj'!CE33-'Gas Adj'!CE36</f>
        <v>12910.259331536305</v>
      </c>
      <c r="AR224" s="471"/>
      <c r="AS224" s="1306">
        <v>3852325</v>
      </c>
      <c r="AT224" s="471"/>
      <c r="AU224" s="471"/>
      <c r="AV224" s="471"/>
      <c r="AW224" s="471"/>
      <c r="AX224" s="471"/>
      <c r="AY224" s="471"/>
      <c r="AZ224" s="471"/>
      <c r="BB224" s="470">
        <f t="shared" si="168"/>
        <v>9257229.4924300313</v>
      </c>
      <c r="BC224" s="470">
        <f t="shared" si="169"/>
        <v>24708100.678042449</v>
      </c>
      <c r="BD224" s="444"/>
      <c r="BE224" s="173"/>
      <c r="BF224" s="336"/>
    </row>
    <row r="225" spans="2:58" outlineLevel="1" x14ac:dyDescent="0.35">
      <c r="B225" s="464" t="s">
        <v>70</v>
      </c>
      <c r="C225" s="516" t="s">
        <v>920</v>
      </c>
      <c r="D225" s="470">
        <f t="shared" si="167"/>
        <v>26303078.738929383</v>
      </c>
      <c r="E225" s="1306">
        <f>'Common Adj'!$K$66</f>
        <v>-138436.252794</v>
      </c>
      <c r="F225" s="471"/>
      <c r="G225" s="471"/>
      <c r="H225" s="471"/>
      <c r="I225" s="471"/>
      <c r="J225" s="471"/>
      <c r="K225" s="471"/>
      <c r="L225" s="471"/>
      <c r="M225" s="471"/>
      <c r="N225" s="471"/>
      <c r="O225" s="471">
        <f>+'Common Adj'!GI28</f>
        <v>1968.4660262220461</v>
      </c>
      <c r="P225" s="471"/>
      <c r="Q225" s="471"/>
      <c r="R225" s="471"/>
      <c r="S225" s="471"/>
      <c r="T225" s="471"/>
      <c r="U225" s="471"/>
      <c r="V225" s="471"/>
      <c r="W225" s="471"/>
      <c r="X225" s="471"/>
      <c r="Y225" s="471"/>
      <c r="Z225" s="720">
        <f>'Common Adj'!NY$23</f>
        <v>-1907825.035493671</v>
      </c>
      <c r="AA225" s="471"/>
      <c r="AB225" s="471"/>
      <c r="AC225" s="471"/>
      <c r="AD225" s="471"/>
      <c r="AE225" s="471"/>
      <c r="AF225" s="471"/>
      <c r="AG225" s="472"/>
      <c r="AH225" s="472"/>
      <c r="AI225" s="472"/>
      <c r="AJ225" s="472"/>
      <c r="AK225" s="471"/>
      <c r="AL225" s="471"/>
      <c r="AM225" s="471"/>
      <c r="AN225" s="471"/>
      <c r="AO225" s="471"/>
      <c r="AP225" s="471"/>
      <c r="AQ225" s="471"/>
      <c r="AR225" s="471"/>
      <c r="AS225" s="1306"/>
      <c r="AT225" s="471"/>
      <c r="AU225" s="471"/>
      <c r="AV225" s="471"/>
      <c r="AW225" s="471"/>
      <c r="AX225" s="471"/>
      <c r="AY225" s="471"/>
      <c r="AZ225" s="471"/>
      <c r="BB225" s="470">
        <f t="shared" si="168"/>
        <v>-2044292.8222614489</v>
      </c>
      <c r="BC225" s="470">
        <f t="shared" si="169"/>
        <v>24258785.916667935</v>
      </c>
      <c r="BD225" s="444"/>
      <c r="BE225" s="173"/>
      <c r="BF225" s="336"/>
    </row>
    <row r="226" spans="2:58" outlineLevel="1" x14ac:dyDescent="0.35">
      <c r="B226" s="464" t="s">
        <v>71</v>
      </c>
      <c r="C226" s="516" t="s">
        <v>920</v>
      </c>
      <c r="D226" s="470">
        <f t="shared" si="167"/>
        <v>12933859.88286794</v>
      </c>
      <c r="E226" s="1306">
        <f>'Common Adj'!$K$70</f>
        <v>-722608.47754200001</v>
      </c>
      <c r="F226" s="471"/>
      <c r="G226" s="471"/>
      <c r="H226" s="471"/>
      <c r="I226" s="471">
        <f>'Common Adj'!CE23</f>
        <v>-532996.14814697567</v>
      </c>
      <c r="J226" s="471"/>
      <c r="K226" s="471"/>
      <c r="L226" s="471"/>
      <c r="M226" s="471"/>
      <c r="N226" s="471"/>
      <c r="O226" s="471">
        <f>+'Common Adj'!GI31</f>
        <v>-5116.1977233749985</v>
      </c>
      <c r="P226" s="471"/>
      <c r="Q226" s="471"/>
      <c r="R226" s="471"/>
      <c r="S226" s="471"/>
      <c r="T226" s="471"/>
      <c r="U226" s="471"/>
      <c r="V226" s="471"/>
      <c r="W226" s="471"/>
      <c r="X226" s="471"/>
      <c r="Y226" s="471"/>
      <c r="Z226" s="720">
        <f>'Common Adj'!NY$30</f>
        <v>-877746.43948086235</v>
      </c>
      <c r="AA226" s="471"/>
      <c r="AB226" s="471">
        <f>+'Common Adj'!PI52</f>
        <v>-990874.46027344314</v>
      </c>
      <c r="AC226" s="471">
        <f>'Common Adj'!QA20</f>
        <v>363239.61813323753</v>
      </c>
      <c r="AD226" s="471"/>
      <c r="AE226" s="471">
        <f>'Common Adj'!RL29</f>
        <v>-14153624.683381069</v>
      </c>
      <c r="AF226" s="471">
        <f>'Common Adj'!SD28</f>
        <v>132141.61590000024</v>
      </c>
      <c r="AG226" s="472">
        <f>'Common Adj'!$SV$24</f>
        <v>-2237962.5784026003</v>
      </c>
      <c r="AH226" s="472">
        <f>'Common Adj'!$SV$42</f>
        <v>-977124.41819999972</v>
      </c>
      <c r="AI226" s="472">
        <f>'Common Adj'!$SV$60</f>
        <v>-94482.626699999993</v>
      </c>
      <c r="AJ226" s="472">
        <f>'Common Adj'!$SV$78</f>
        <v>-1927704.6856221</v>
      </c>
      <c r="AK226" s="471"/>
      <c r="AL226" s="471">
        <f>'Common Adj'!VA26</f>
        <v>-504683.94681047811</v>
      </c>
      <c r="AM226" s="471">
        <f>'Common Adj'!TO23</f>
        <v>-13020</v>
      </c>
      <c r="AN226" s="471">
        <f>'Common Adj'!VT31</f>
        <v>0</v>
      </c>
      <c r="AO226" s="471">
        <f>'Common Adj'!WI20</f>
        <v>-84789.36648040099</v>
      </c>
      <c r="AP226" s="471">
        <f>'Gas Adj'!BM48</f>
        <v>0</v>
      </c>
      <c r="AQ226" s="471">
        <f>'Gas Adj'!CE46</f>
        <v>-2711.154459622624</v>
      </c>
      <c r="AR226" s="471">
        <f>'Gas Adj'!CW29</f>
        <v>138784.8011843072</v>
      </c>
      <c r="AS226" s="1306">
        <f>'Gas Adj'!DF29</f>
        <v>0</v>
      </c>
      <c r="AT226" s="415"/>
      <c r="AU226" s="415"/>
      <c r="AV226" s="471"/>
      <c r="AW226" s="471"/>
      <c r="AX226" s="518"/>
      <c r="AY226" s="471"/>
      <c r="AZ226" s="471"/>
      <c r="BB226" s="470">
        <f t="shared" si="168"/>
        <v>-22491279.148005385</v>
      </c>
      <c r="BC226" s="470">
        <f t="shared" si="169"/>
        <v>-9557419.2651374452</v>
      </c>
      <c r="BD226" s="444"/>
      <c r="BE226" s="173"/>
      <c r="BF226" s="336"/>
    </row>
    <row r="227" spans="2:58" outlineLevel="1" x14ac:dyDescent="0.35">
      <c r="B227" s="329" t="s">
        <v>72</v>
      </c>
      <c r="C227" s="516" t="s">
        <v>920</v>
      </c>
      <c r="D227" s="470">
        <f t="shared" si="167"/>
        <v>-6938006.5860653091</v>
      </c>
      <c r="E227" s="1306"/>
      <c r="F227" s="471"/>
      <c r="G227" s="471"/>
      <c r="H227" s="471">
        <f>SUM('Common Adj'!BM17:BM19)</f>
        <v>-3984285.403344369</v>
      </c>
      <c r="I227" s="471"/>
      <c r="J227" s="471"/>
      <c r="K227" s="471"/>
      <c r="L227" s="471"/>
      <c r="M227" s="471"/>
      <c r="N227" s="471"/>
      <c r="O227" s="471"/>
      <c r="P227" s="471"/>
      <c r="Q227" s="471"/>
      <c r="R227" s="471"/>
      <c r="S227" s="471"/>
      <c r="T227" s="471"/>
      <c r="U227" s="471"/>
      <c r="V227" s="471"/>
      <c r="W227" s="471"/>
      <c r="X227" s="471"/>
      <c r="Y227" s="471"/>
      <c r="Z227" s="471"/>
      <c r="AA227" s="471"/>
      <c r="AB227" s="471"/>
      <c r="AC227" s="471"/>
      <c r="AD227" s="471"/>
      <c r="AE227" s="471"/>
      <c r="AF227" s="471"/>
      <c r="AG227" s="471"/>
      <c r="AH227" s="471"/>
      <c r="AI227" s="471"/>
      <c r="AJ227" s="471"/>
      <c r="AK227" s="471"/>
      <c r="AL227" s="471"/>
      <c r="AM227" s="471"/>
      <c r="AN227" s="471"/>
      <c r="AO227" s="471"/>
      <c r="AP227" s="471"/>
      <c r="AQ227" s="471"/>
      <c r="AR227" s="471"/>
      <c r="AS227" s="1306"/>
      <c r="AT227" s="471"/>
      <c r="AU227" s="471"/>
      <c r="AV227" s="471"/>
      <c r="AW227" s="471"/>
      <c r="AX227" s="471"/>
      <c r="AY227" s="471"/>
      <c r="AZ227" s="471"/>
      <c r="BB227" s="470">
        <f t="shared" si="168"/>
        <v>-3984285.403344369</v>
      </c>
      <c r="BC227" s="470">
        <f t="shared" si="169"/>
        <v>-10922291.989409678</v>
      </c>
      <c r="BD227" s="444"/>
      <c r="BE227" s="173"/>
      <c r="BF227" s="336"/>
    </row>
    <row r="228" spans="2:58" outlineLevel="1" x14ac:dyDescent="0.35">
      <c r="B228" s="464" t="s">
        <v>2</v>
      </c>
      <c r="C228" s="516" t="s">
        <v>920</v>
      </c>
      <c r="D228" s="477">
        <f>SUM(D212:D227)</f>
        <v>426935876.36562687</v>
      </c>
      <c r="E228" s="1310">
        <f t="shared" ref="E228:AR228" si="170">SUM(E212:E227)</f>
        <v>-885881.727342</v>
      </c>
      <c r="F228" s="478">
        <f t="shared" si="170"/>
        <v>0</v>
      </c>
      <c r="G228" s="478">
        <f t="shared" si="170"/>
        <v>0</v>
      </c>
      <c r="H228" s="478">
        <f t="shared" si="170"/>
        <v>-3984285.403344369</v>
      </c>
      <c r="I228" s="478">
        <f t="shared" si="170"/>
        <v>-532996.14814697567</v>
      </c>
      <c r="J228" s="478">
        <f t="shared" si="170"/>
        <v>0</v>
      </c>
      <c r="K228" s="478">
        <f t="shared" si="170"/>
        <v>0</v>
      </c>
      <c r="L228" s="478">
        <f t="shared" si="170"/>
        <v>0</v>
      </c>
      <c r="M228" s="478">
        <f t="shared" si="170"/>
        <v>0</v>
      </c>
      <c r="N228" s="478">
        <f t="shared" si="170"/>
        <v>0</v>
      </c>
      <c r="O228" s="478">
        <f t="shared" si="170"/>
        <v>19246.648578410714</v>
      </c>
      <c r="P228" s="478">
        <f t="shared" si="170"/>
        <v>0</v>
      </c>
      <c r="Q228" s="478">
        <f t="shared" si="170"/>
        <v>0</v>
      </c>
      <c r="R228" s="478">
        <f t="shared" si="170"/>
        <v>0</v>
      </c>
      <c r="S228" s="478">
        <f t="shared" si="170"/>
        <v>0</v>
      </c>
      <c r="T228" s="478">
        <f t="shared" si="170"/>
        <v>0</v>
      </c>
      <c r="U228" s="478">
        <f t="shared" si="170"/>
        <v>0</v>
      </c>
      <c r="V228" s="478">
        <f t="shared" si="170"/>
        <v>0</v>
      </c>
      <c r="W228" s="478">
        <f t="shared" si="170"/>
        <v>0</v>
      </c>
      <c r="X228" s="478">
        <f t="shared" si="170"/>
        <v>0</v>
      </c>
      <c r="Y228" s="478">
        <f t="shared" si="170"/>
        <v>0</v>
      </c>
      <c r="Z228" s="478">
        <f t="shared" si="170"/>
        <v>3301998.5104280058</v>
      </c>
      <c r="AA228" s="478">
        <f t="shared" si="170"/>
        <v>0</v>
      </c>
      <c r="AB228" s="478">
        <f t="shared" si="170"/>
        <v>3727575.3505524765</v>
      </c>
      <c r="AC228" s="478">
        <f t="shared" si="170"/>
        <v>-1366472.8491678936</v>
      </c>
      <c r="AD228" s="478">
        <f t="shared" ref="AD228" si="171">SUM(AD212:AD227)</f>
        <v>0</v>
      </c>
      <c r="AE228" s="478">
        <f t="shared" si="170"/>
        <v>53244588.094624028</v>
      </c>
      <c r="AF228" s="478">
        <f t="shared" si="170"/>
        <v>-497104.17410000088</v>
      </c>
      <c r="AG228" s="478">
        <f t="shared" si="170"/>
        <v>8419002.0806574002</v>
      </c>
      <c r="AH228" s="478">
        <f t="shared" ref="AH228:AJ228" si="172">SUM(AH212:AH227)</f>
        <v>3675849.0017999993</v>
      </c>
      <c r="AI228" s="478">
        <f t="shared" si="172"/>
        <v>355434.6433</v>
      </c>
      <c r="AJ228" s="478">
        <f t="shared" si="172"/>
        <v>7251841.4363879003</v>
      </c>
      <c r="AK228" s="478">
        <f t="shared" ref="AK228:AL228" si="173">SUM(AK212:AK227)</f>
        <v>0</v>
      </c>
      <c r="AL228" s="478">
        <f t="shared" si="173"/>
        <v>1898572.9427632273</v>
      </c>
      <c r="AM228" s="479">
        <f t="shared" ref="AM228:AN228" si="174">SUM(AM212:AM227)</f>
        <v>48980</v>
      </c>
      <c r="AN228" s="479">
        <f t="shared" si="174"/>
        <v>0</v>
      </c>
      <c r="AO228" s="479">
        <f t="shared" ref="AO228" si="175">SUM(AO212:AO227)</f>
        <v>318969.52152150846</v>
      </c>
      <c r="AP228" s="478">
        <f t="shared" si="170"/>
        <v>0</v>
      </c>
      <c r="AQ228" s="478">
        <f t="shared" si="170"/>
        <v>10199.104871913682</v>
      </c>
      <c r="AR228" s="478">
        <f t="shared" si="170"/>
        <v>-522095.20445525099</v>
      </c>
      <c r="AS228" s="1310">
        <f t="shared" ref="AS228" si="176">SUM(AS212:AS227)</f>
        <v>3852325</v>
      </c>
      <c r="AT228" s="478"/>
      <c r="AU228" s="478"/>
      <c r="AV228" s="478"/>
      <c r="AW228" s="478"/>
      <c r="AX228" s="478"/>
      <c r="AY228" s="478"/>
      <c r="AZ228" s="478"/>
      <c r="BB228" s="477">
        <f>SUM(BB212:BB227)</f>
        <v>78335746.828928351</v>
      </c>
      <c r="BC228" s="477">
        <f>SUM(BC212:BC227)</f>
        <v>505271623.19455522</v>
      </c>
      <c r="BD228" s="444"/>
      <c r="BE228" s="173"/>
      <c r="BF228" s="336"/>
    </row>
    <row r="229" spans="2:58" outlineLevel="1" x14ac:dyDescent="0.35">
      <c r="C229" s="516" t="s">
        <v>920</v>
      </c>
      <c r="D229" s="482"/>
      <c r="E229" s="1311"/>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483"/>
      <c r="AN229" s="363"/>
      <c r="AO229" s="363"/>
      <c r="AP229" s="363"/>
      <c r="AQ229" s="363"/>
      <c r="AR229" s="363"/>
      <c r="AS229" s="1311"/>
      <c r="AT229" s="363"/>
      <c r="AU229" s="363"/>
      <c r="AV229" s="363"/>
      <c r="AW229" s="363"/>
      <c r="AX229" s="363"/>
      <c r="AY229" s="363"/>
      <c r="AZ229" s="363"/>
      <c r="BB229" s="482"/>
      <c r="BC229" s="482"/>
      <c r="BD229" s="444"/>
      <c r="BE229" s="173"/>
      <c r="BF229" s="336"/>
    </row>
    <row r="230" spans="2:58" ht="15" outlineLevel="1" thickBot="1" x14ac:dyDescent="0.4">
      <c r="B230" s="329" t="s">
        <v>4</v>
      </c>
      <c r="C230" s="516" t="s">
        <v>920</v>
      </c>
      <c r="D230" s="484">
        <f>+D203-D228</f>
        <v>126837249.57794708</v>
      </c>
      <c r="E230" s="1312">
        <f t="shared" ref="E230:AR230" si="177">+E203-E228</f>
        <v>-2718384.2726579998</v>
      </c>
      <c r="F230" s="485">
        <f t="shared" si="177"/>
        <v>0</v>
      </c>
      <c r="G230" s="485">
        <f t="shared" si="177"/>
        <v>0</v>
      </c>
      <c r="H230" s="485">
        <f t="shared" si="177"/>
        <v>3984285.403344369</v>
      </c>
      <c r="I230" s="485">
        <f t="shared" si="177"/>
        <v>532996.14814697567</v>
      </c>
      <c r="J230" s="485">
        <f t="shared" si="177"/>
        <v>0</v>
      </c>
      <c r="K230" s="485">
        <f t="shared" si="177"/>
        <v>0</v>
      </c>
      <c r="L230" s="485">
        <f t="shared" si="177"/>
        <v>0</v>
      </c>
      <c r="M230" s="485">
        <f t="shared" si="177"/>
        <v>0</v>
      </c>
      <c r="N230" s="485">
        <f t="shared" si="177"/>
        <v>0</v>
      </c>
      <c r="O230" s="485">
        <f t="shared" si="177"/>
        <v>-19246.648578410714</v>
      </c>
      <c r="P230" s="485">
        <f t="shared" si="177"/>
        <v>0</v>
      </c>
      <c r="Q230" s="485">
        <f t="shared" si="177"/>
        <v>0</v>
      </c>
      <c r="R230" s="485">
        <f t="shared" si="177"/>
        <v>0</v>
      </c>
      <c r="S230" s="485">
        <f t="shared" si="177"/>
        <v>0</v>
      </c>
      <c r="T230" s="485">
        <f t="shared" si="177"/>
        <v>0</v>
      </c>
      <c r="U230" s="485">
        <f t="shared" si="177"/>
        <v>0</v>
      </c>
      <c r="V230" s="485">
        <f t="shared" si="177"/>
        <v>0</v>
      </c>
      <c r="W230" s="485">
        <f t="shared" si="177"/>
        <v>0</v>
      </c>
      <c r="X230" s="485">
        <f t="shared" si="177"/>
        <v>0</v>
      </c>
      <c r="Y230" s="485">
        <f t="shared" si="177"/>
        <v>0</v>
      </c>
      <c r="Z230" s="485">
        <f t="shared" si="177"/>
        <v>-3301998.5104280058</v>
      </c>
      <c r="AA230" s="485">
        <f t="shared" si="177"/>
        <v>0</v>
      </c>
      <c r="AB230" s="485">
        <f t="shared" si="177"/>
        <v>-3727575.3505524765</v>
      </c>
      <c r="AC230" s="485">
        <f t="shared" si="177"/>
        <v>1366472.8491678936</v>
      </c>
      <c r="AD230" s="485">
        <f t="shared" ref="AD230" si="178">+AD203-AD228</f>
        <v>0</v>
      </c>
      <c r="AE230" s="485">
        <f t="shared" si="177"/>
        <v>-53244588.094624028</v>
      </c>
      <c r="AF230" s="485">
        <f t="shared" si="177"/>
        <v>497104.17410000088</v>
      </c>
      <c r="AG230" s="485">
        <f t="shared" si="177"/>
        <v>-8419002.0806574002</v>
      </c>
      <c r="AH230" s="485">
        <f t="shared" ref="AH230:AJ230" si="179">+AH203-AH228</f>
        <v>-3675849.0017999993</v>
      </c>
      <c r="AI230" s="485">
        <f t="shared" si="179"/>
        <v>-355434.6433</v>
      </c>
      <c r="AJ230" s="485">
        <f t="shared" si="179"/>
        <v>-7251841.4363879003</v>
      </c>
      <c r="AK230" s="485">
        <f t="shared" ref="AK230:AN230" si="180">+AK203-AK228</f>
        <v>0</v>
      </c>
      <c r="AL230" s="485">
        <f t="shared" si="180"/>
        <v>-1898572.9427632273</v>
      </c>
      <c r="AM230" s="486">
        <f t="shared" si="180"/>
        <v>-48980</v>
      </c>
      <c r="AN230" s="486">
        <f t="shared" si="180"/>
        <v>0</v>
      </c>
      <c r="AO230" s="486">
        <f t="shared" ref="AO230" si="181">+AO203-AO228</f>
        <v>-318969.52152150846</v>
      </c>
      <c r="AP230" s="485">
        <f t="shared" si="177"/>
        <v>0</v>
      </c>
      <c r="AQ230" s="485">
        <f t="shared" si="177"/>
        <v>-10199.104871913682</v>
      </c>
      <c r="AR230" s="485">
        <f t="shared" si="177"/>
        <v>522095.20445525099</v>
      </c>
      <c r="AS230" s="1312">
        <f t="shared" ref="AS230" si="182">+AS203-AS228</f>
        <v>-3852325</v>
      </c>
      <c r="AT230" s="485"/>
      <c r="AU230" s="485"/>
      <c r="AV230" s="485"/>
      <c r="AW230" s="485"/>
      <c r="AX230" s="485"/>
      <c r="AY230" s="485"/>
      <c r="AZ230" s="485"/>
      <c r="BB230" s="484">
        <f>+BB203-BB228</f>
        <v>-81940012.828928351</v>
      </c>
      <c r="BC230" s="484">
        <f>+BC203-BC228</f>
        <v>44897236.749018729</v>
      </c>
      <c r="BD230" s="444"/>
      <c r="BE230" s="173"/>
      <c r="BF230" s="336"/>
    </row>
    <row r="231" spans="2:58" ht="12" customHeight="1" outlineLevel="1" thickTop="1" x14ac:dyDescent="0.35">
      <c r="B231"/>
      <c r="C231" s="516" t="s">
        <v>920</v>
      </c>
      <c r="D231" s="219"/>
      <c r="E231" s="1313"/>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6"/>
      <c r="AE231" s="416"/>
      <c r="AF231" s="416"/>
      <c r="AG231" s="416"/>
      <c r="AH231" s="416"/>
      <c r="AI231" s="416"/>
      <c r="AJ231" s="416"/>
      <c r="AK231" s="416"/>
      <c r="AL231" s="416"/>
      <c r="AM231" s="116"/>
      <c r="AN231" s="416"/>
      <c r="AO231" s="416"/>
      <c r="AP231" s="416"/>
      <c r="AQ231" s="416"/>
      <c r="AR231" s="416"/>
      <c r="AS231" s="1313"/>
      <c r="AT231" s="416"/>
      <c r="AU231" s="416"/>
      <c r="AV231" s="416"/>
      <c r="AW231" s="416"/>
      <c r="AX231" s="416"/>
      <c r="AY231" s="416"/>
      <c r="AZ231" s="416"/>
      <c r="BB231" s="219"/>
      <c r="BC231" s="219"/>
      <c r="BD231" s="444"/>
      <c r="BE231" s="173"/>
      <c r="BF231" s="336"/>
    </row>
    <row r="232" spans="2:58" outlineLevel="1" x14ac:dyDescent="0.35">
      <c r="B232" s="464" t="s">
        <v>124</v>
      </c>
      <c r="C232" s="516" t="s">
        <v>920</v>
      </c>
      <c r="D232" s="476">
        <f>D243</f>
        <v>2900790224.7215991</v>
      </c>
      <c r="E232" s="1309">
        <f t="shared" ref="E232:AR232" si="183">E243</f>
        <v>0</v>
      </c>
      <c r="F232" s="420">
        <f t="shared" si="183"/>
        <v>0</v>
      </c>
      <c r="G232" s="420">
        <f t="shared" si="183"/>
        <v>0</v>
      </c>
      <c r="H232" s="420">
        <f t="shared" si="183"/>
        <v>0</v>
      </c>
      <c r="I232" s="420">
        <f t="shared" si="183"/>
        <v>0</v>
      </c>
      <c r="J232" s="420">
        <f t="shared" si="183"/>
        <v>0</v>
      </c>
      <c r="K232" s="420">
        <f t="shared" si="183"/>
        <v>0</v>
      </c>
      <c r="L232" s="420">
        <f t="shared" si="183"/>
        <v>0</v>
      </c>
      <c r="M232" s="420">
        <f t="shared" si="183"/>
        <v>0</v>
      </c>
      <c r="N232" s="420">
        <f t="shared" si="183"/>
        <v>0</v>
      </c>
      <c r="O232" s="420">
        <f t="shared" si="183"/>
        <v>0</v>
      </c>
      <c r="P232" s="420">
        <f t="shared" si="183"/>
        <v>0</v>
      </c>
      <c r="Q232" s="420">
        <f t="shared" si="183"/>
        <v>0</v>
      </c>
      <c r="R232" s="420">
        <f t="shared" si="183"/>
        <v>0</v>
      </c>
      <c r="S232" s="420">
        <f t="shared" si="183"/>
        <v>0</v>
      </c>
      <c r="T232" s="420">
        <f t="shared" si="183"/>
        <v>0</v>
      </c>
      <c r="U232" s="420">
        <f t="shared" si="183"/>
        <v>0</v>
      </c>
      <c r="V232" s="420">
        <f t="shared" si="183"/>
        <v>0</v>
      </c>
      <c r="W232" s="420">
        <f t="shared" si="183"/>
        <v>0</v>
      </c>
      <c r="X232" s="420">
        <f t="shared" si="183"/>
        <v>0</v>
      </c>
      <c r="Y232" s="420">
        <f t="shared" si="183"/>
        <v>0</v>
      </c>
      <c r="Z232" s="420">
        <f t="shared" si="183"/>
        <v>0</v>
      </c>
      <c r="AA232" s="420">
        <f t="shared" si="183"/>
        <v>0</v>
      </c>
      <c r="AB232" s="420">
        <f t="shared" si="183"/>
        <v>0</v>
      </c>
      <c r="AC232" s="420">
        <f t="shared" si="183"/>
        <v>0</v>
      </c>
      <c r="AD232" s="420">
        <f t="shared" ref="AD232" si="184">AD243</f>
        <v>0</v>
      </c>
      <c r="AE232" s="420">
        <f t="shared" si="183"/>
        <v>-110651507.27837408</v>
      </c>
      <c r="AF232" s="420">
        <f t="shared" si="183"/>
        <v>424163.73</v>
      </c>
      <c r="AG232" s="420">
        <f t="shared" si="183"/>
        <v>52167450.423619971</v>
      </c>
      <c r="AH232" s="420">
        <f t="shared" ref="AH232:AJ232" si="185">AH243</f>
        <v>24244937.780000035</v>
      </c>
      <c r="AI232" s="420">
        <f t="shared" si="185"/>
        <v>-280261.93000000005</v>
      </c>
      <c r="AJ232" s="420">
        <f t="shared" si="185"/>
        <v>4403069.303989986</v>
      </c>
      <c r="AK232" s="420">
        <f t="shared" ref="AK232:AN232" si="186">AK243</f>
        <v>0</v>
      </c>
      <c r="AL232" s="420">
        <f t="shared" si="186"/>
        <v>0</v>
      </c>
      <c r="AM232" s="420">
        <f t="shared" si="186"/>
        <v>0</v>
      </c>
      <c r="AN232" s="420">
        <f t="shared" si="186"/>
        <v>0</v>
      </c>
      <c r="AO232" s="420"/>
      <c r="AP232" s="420">
        <f t="shared" si="183"/>
        <v>0</v>
      </c>
      <c r="AQ232" s="420">
        <f t="shared" si="183"/>
        <v>-5170723.4230643986</v>
      </c>
      <c r="AR232" s="420">
        <f t="shared" si="183"/>
        <v>576639.62190245662</v>
      </c>
      <c r="AS232" s="1309">
        <f t="shared" ref="AS232" si="187">AS243</f>
        <v>0</v>
      </c>
      <c r="AT232" s="420"/>
      <c r="AU232" s="420"/>
      <c r="AV232" s="420"/>
      <c r="AW232" s="420"/>
      <c r="AX232" s="420"/>
      <c r="AY232" s="420"/>
      <c r="AZ232" s="420"/>
      <c r="BB232" s="476">
        <f>BB243</f>
        <v>-34286231.771925993</v>
      </c>
      <c r="BC232" s="476">
        <f>BC243</f>
        <v>2866503992.9496732</v>
      </c>
      <c r="BD232" s="444"/>
      <c r="BE232" s="173"/>
      <c r="BF232" s="336"/>
    </row>
    <row r="233" spans="2:58" outlineLevel="1" x14ac:dyDescent="0.35">
      <c r="C233" s="516" t="s">
        <v>920</v>
      </c>
      <c r="D233" s="466"/>
      <c r="E233" s="1308"/>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487"/>
      <c r="AN233" s="341"/>
      <c r="AO233" s="341"/>
      <c r="AP233" s="341"/>
      <c r="AQ233" s="341"/>
      <c r="AR233" s="341"/>
      <c r="AS233" s="1308"/>
      <c r="AT233" s="341"/>
      <c r="AU233" s="341"/>
      <c r="AV233" s="341"/>
      <c r="AW233" s="341"/>
      <c r="AX233" s="341"/>
      <c r="AY233" s="341"/>
      <c r="AZ233" s="341"/>
      <c r="BB233" s="466"/>
      <c r="BC233" s="466"/>
      <c r="BD233" s="444"/>
      <c r="BE233" s="173"/>
      <c r="BF233" s="336"/>
    </row>
    <row r="234" spans="2:58" outlineLevel="1" x14ac:dyDescent="0.35">
      <c r="B234" s="464" t="s">
        <v>125</v>
      </c>
      <c r="C234" s="516" t="s">
        <v>920</v>
      </c>
      <c r="D234" s="488">
        <f>+D230/D232</f>
        <v>4.372506791321671E-2</v>
      </c>
      <c r="E234" s="1306"/>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89"/>
      <c r="AN234" s="471"/>
      <c r="AO234" s="471"/>
      <c r="AP234" s="471"/>
      <c r="AQ234" s="471"/>
      <c r="AR234" s="471"/>
      <c r="AS234" s="1306"/>
      <c r="AT234" s="471"/>
      <c r="AU234" s="471"/>
      <c r="AV234" s="471"/>
      <c r="AW234" s="471"/>
      <c r="AX234" s="471"/>
      <c r="AY234" s="471"/>
      <c r="AZ234" s="471"/>
      <c r="BB234" s="488"/>
      <c r="BC234" s="488">
        <f>+BC230/BC232</f>
        <v>1.5662715579481484E-2</v>
      </c>
      <c r="BD234" s="444"/>
      <c r="BE234" s="173"/>
      <c r="BF234" s="336"/>
    </row>
    <row r="235" spans="2:58" outlineLevel="1" x14ac:dyDescent="0.35">
      <c r="C235" s="516" t="s">
        <v>920</v>
      </c>
      <c r="D235" s="470"/>
      <c r="E235" s="1306"/>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2"/>
      <c r="AN235" s="471"/>
      <c r="AO235" s="471"/>
      <c r="AP235" s="471"/>
      <c r="AQ235" s="471"/>
      <c r="AR235" s="471"/>
      <c r="AS235" s="1306"/>
      <c r="AT235" s="471"/>
      <c r="AU235" s="471"/>
      <c r="AV235" s="471"/>
      <c r="AW235" s="471"/>
      <c r="AX235" s="471"/>
      <c r="AY235" s="471"/>
      <c r="AZ235" s="471"/>
      <c r="BB235" s="470"/>
      <c r="BC235" s="470"/>
      <c r="BD235" s="444"/>
      <c r="BE235" s="173"/>
      <c r="BF235" s="336"/>
    </row>
    <row r="236" spans="2:58" outlineLevel="1" x14ac:dyDescent="0.35">
      <c r="B236" s="329" t="s">
        <v>126</v>
      </c>
      <c r="C236" s="516" t="s">
        <v>920</v>
      </c>
      <c r="D236" s="470"/>
      <c r="E236" s="1306"/>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2"/>
      <c r="AN236" s="471"/>
      <c r="AO236" s="471"/>
      <c r="AP236" s="471"/>
      <c r="AQ236" s="471"/>
      <c r="AR236" s="471"/>
      <c r="AS236" s="1306"/>
      <c r="AT236" s="471"/>
      <c r="AU236" s="471"/>
      <c r="AV236" s="471"/>
      <c r="AW236" s="471"/>
      <c r="AX236" s="471"/>
      <c r="AY236" s="471"/>
      <c r="AZ236" s="471"/>
      <c r="BB236" s="470"/>
      <c r="BC236" s="470"/>
      <c r="BD236" s="444"/>
      <c r="BE236" s="173"/>
      <c r="BF236" s="336"/>
    </row>
    <row r="237" spans="2:58" outlineLevel="1" x14ac:dyDescent="0.35">
      <c r="B237" s="490" t="s">
        <v>20</v>
      </c>
      <c r="C237" s="516" t="s">
        <v>920</v>
      </c>
      <c r="D237" s="476">
        <f t="shared" ref="D237:D242" si="188">+BC176</f>
        <v>5703698652.9502459</v>
      </c>
      <c r="E237" s="1309"/>
      <c r="F237" s="420"/>
      <c r="G237" s="420"/>
      <c r="H237" s="420"/>
      <c r="I237" s="420"/>
      <c r="J237" s="420"/>
      <c r="K237" s="420"/>
      <c r="L237" s="420"/>
      <c r="M237" s="420"/>
      <c r="N237" s="420"/>
      <c r="O237" s="420"/>
      <c r="P237" s="420"/>
      <c r="Q237" s="420"/>
      <c r="R237" s="420"/>
      <c r="S237" s="420"/>
      <c r="T237" s="420"/>
      <c r="U237" s="420"/>
      <c r="V237" s="420"/>
      <c r="W237" s="420"/>
      <c r="X237" s="420"/>
      <c r="Y237" s="420"/>
      <c r="Z237" s="420"/>
      <c r="AA237" s="420"/>
      <c r="AB237" s="420"/>
      <c r="AC237" s="420"/>
      <c r="AD237" s="420">
        <f>'Common Adj'!QT17</f>
        <v>-7243194.7537397146</v>
      </c>
      <c r="AE237" s="420"/>
      <c r="AF237" s="420"/>
      <c r="AG237" s="173">
        <f>'Common Adj'!$SV$28</f>
        <v>61776287.73843497</v>
      </c>
      <c r="AH237" s="173">
        <f>'Common Adj'!$SV$46</f>
        <v>28472966.340000033</v>
      </c>
      <c r="AI237" s="173">
        <f>'Common Adj'!$SV$64</f>
        <v>0</v>
      </c>
      <c r="AJ237" s="173">
        <f>'Common Adj'!$SV$82</f>
        <v>13304012.333819985</v>
      </c>
      <c r="AK237" s="420"/>
      <c r="AL237" s="420"/>
      <c r="AM237" s="173"/>
      <c r="AN237" s="420">
        <f>'Common Adj'!VT20</f>
        <v>0</v>
      </c>
      <c r="AO237" s="420"/>
      <c r="AP237" s="420"/>
      <c r="AQ237" s="420"/>
      <c r="AR237" s="420">
        <f>'Gas Adj'!CW18</f>
        <v>0</v>
      </c>
      <c r="AS237" s="1309">
        <f>'Gas Adj'!DF18</f>
        <v>0</v>
      </c>
      <c r="AT237" s="420"/>
      <c r="AU237" s="420"/>
      <c r="AV237" s="420"/>
      <c r="AW237" s="420"/>
      <c r="AX237" s="420"/>
      <c r="AY237" s="420"/>
      <c r="AZ237" s="420"/>
      <c r="BB237" s="476">
        <f t="shared" ref="BB237:BB242" si="189">SUM(E237:AZ237)</f>
        <v>96310071.658515275</v>
      </c>
      <c r="BC237" s="476">
        <f t="shared" ref="BC237:BC242" si="190">+BB237+D237</f>
        <v>5800008724.6087608</v>
      </c>
      <c r="BD237" s="444"/>
      <c r="BE237" s="173"/>
      <c r="BF237" s="336"/>
    </row>
    <row r="238" spans="2:58" outlineLevel="1" x14ac:dyDescent="0.35">
      <c r="B238" s="490" t="s">
        <v>21</v>
      </c>
      <c r="C238" s="516" t="s">
        <v>920</v>
      </c>
      <c r="D238" s="470">
        <f t="shared" si="188"/>
        <v>-2378834076.64008</v>
      </c>
      <c r="E238" s="1306"/>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f>'Common Adj'!QT18</f>
        <v>7243194.7537397146</v>
      </c>
      <c r="AE238" s="471">
        <f>'Common Adj'!RL34</f>
        <v>-130226967.27970982</v>
      </c>
      <c r="AF238" s="471">
        <f>'Common Adj'!SD33</f>
        <v>424163.73</v>
      </c>
      <c r="AG238" s="472">
        <f>'Common Adj'!$SV$29</f>
        <v>-8504153.2246999964</v>
      </c>
      <c r="AH238" s="472">
        <f>'Common Adj'!$SV$47</f>
        <v>-3715299.8600000003</v>
      </c>
      <c r="AI238" s="472">
        <f>'Common Adj'!$SV$65</f>
        <v>-232866.6</v>
      </c>
      <c r="AJ238" s="472">
        <f>'Common Adj'!$SV$83</f>
        <v>-7425513.8108900003</v>
      </c>
      <c r="AK238" s="471"/>
      <c r="AL238" s="471"/>
      <c r="AM238" s="481"/>
      <c r="AN238" s="471">
        <f>'Common Adj'!VT21</f>
        <v>0</v>
      </c>
      <c r="AO238" s="471"/>
      <c r="AP238" s="471"/>
      <c r="AQ238" s="471"/>
      <c r="AR238" s="471">
        <f>'Gas Adj'!CW19+'Gas Adj'!CW20</f>
        <v>548629.68301899789</v>
      </c>
      <c r="AS238" s="1306">
        <f>'Gas Adj'!DF19+'Gas Adj'!DF20</f>
        <v>0</v>
      </c>
      <c r="AT238" s="415"/>
      <c r="AU238" s="471"/>
      <c r="AV238" s="471"/>
      <c r="AW238" s="356"/>
      <c r="AX238" s="471"/>
      <c r="AY238" s="471"/>
      <c r="AZ238" s="471"/>
      <c r="BB238" s="470">
        <f t="shared" si="189"/>
        <v>-141888812.60854107</v>
      </c>
      <c r="BC238" s="470">
        <f t="shared" si="190"/>
        <v>-2520722889.248621</v>
      </c>
      <c r="BD238" s="444"/>
      <c r="BE238" s="173"/>
      <c r="BF238" s="336"/>
    </row>
    <row r="239" spans="2:58" outlineLevel="1" x14ac:dyDescent="0.35">
      <c r="B239" s="329" t="s">
        <v>127</v>
      </c>
      <c r="C239" s="516" t="s">
        <v>920</v>
      </c>
      <c r="D239" s="470">
        <f t="shared" si="188"/>
        <v>17001808.131428298</v>
      </c>
      <c r="E239" s="1306"/>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f>'Common Adj'!SD34</f>
        <v>0</v>
      </c>
      <c r="AG239" s="472"/>
      <c r="AH239" s="472"/>
      <c r="AI239" s="472"/>
      <c r="AJ239" s="472"/>
      <c r="AK239" s="471"/>
      <c r="AL239" s="471">
        <f>'Common Adj'!VA17</f>
        <v>0</v>
      </c>
      <c r="AM239" s="481"/>
      <c r="AN239" s="471"/>
      <c r="AO239" s="471"/>
      <c r="AP239" s="471"/>
      <c r="AQ239" s="471">
        <f>'Gas Adj'!CE25</f>
        <v>-6301235.2377254888</v>
      </c>
      <c r="AR239" s="471"/>
      <c r="AS239" s="1306"/>
      <c r="AT239" s="415"/>
      <c r="AU239" s="471"/>
      <c r="AV239" s="471"/>
      <c r="AW239" s="356"/>
      <c r="AX239" s="471"/>
      <c r="AY239" s="471"/>
      <c r="AZ239" s="471"/>
      <c r="BB239" s="470">
        <f t="shared" si="189"/>
        <v>-6301235.2377254888</v>
      </c>
      <c r="BC239" s="470">
        <f t="shared" si="190"/>
        <v>10700572.893702809</v>
      </c>
      <c r="BD239" s="444"/>
      <c r="BE239" s="173"/>
      <c r="BF239" s="336"/>
    </row>
    <row r="240" spans="2:58" outlineLevel="1" x14ac:dyDescent="0.35">
      <c r="B240" s="329" t="s">
        <v>128</v>
      </c>
      <c r="C240" s="516" t="s">
        <v>920</v>
      </c>
      <c r="D240" s="470">
        <f t="shared" si="188"/>
        <v>-558903629.43259001</v>
      </c>
      <c r="E240" s="1306"/>
      <c r="F240" s="471"/>
      <c r="G240" s="471"/>
      <c r="H240" s="471">
        <f>+'Common Adj'!BM24</f>
        <v>0</v>
      </c>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f>'Common Adj'!RL35</f>
        <v>19575460.00133574</v>
      </c>
      <c r="AF240" s="471"/>
      <c r="AG240" s="472">
        <f>'Common Adj'!$SV$30</f>
        <v>-1104684.0901149998</v>
      </c>
      <c r="AH240" s="472">
        <f>'Common Adj'!$SV$48</f>
        <v>-512728.69999999995</v>
      </c>
      <c r="AI240" s="472">
        <f>'Common Adj'!$SV$66</f>
        <v>-47395.330000000016</v>
      </c>
      <c r="AJ240" s="472">
        <f>'Common Adj'!$SV$84</f>
        <v>-1475429.2189399996</v>
      </c>
      <c r="AK240" s="471"/>
      <c r="AL240" s="471">
        <f>'Common Adj'!VA18</f>
        <v>0</v>
      </c>
      <c r="AM240" s="347"/>
      <c r="AN240" s="471">
        <f>'Common Adj'!VT22</f>
        <v>0</v>
      </c>
      <c r="AO240" s="471"/>
      <c r="AP240" s="471"/>
      <c r="AQ240" s="471">
        <f>'Gas Adj'!CE26</f>
        <v>1130511.8146610903</v>
      </c>
      <c r="AR240" s="471">
        <f>'Gas Adj'!CW21</f>
        <v>28009.93888345873</v>
      </c>
      <c r="AS240" s="1306">
        <f>'Gas Adj'!DF21</f>
        <v>0</v>
      </c>
      <c r="AT240" s="356"/>
      <c r="AU240" s="471"/>
      <c r="AV240" s="471"/>
      <c r="AW240" s="356"/>
      <c r="AX240" s="471"/>
      <c r="AY240" s="471"/>
      <c r="AZ240" s="471"/>
      <c r="BB240" s="470">
        <f t="shared" si="189"/>
        <v>17593744.415825292</v>
      </c>
      <c r="BC240" s="470">
        <f t="shared" si="190"/>
        <v>-541309885.01676476</v>
      </c>
      <c r="BD240" s="444"/>
      <c r="BE240" s="173"/>
      <c r="BF240" s="336"/>
    </row>
    <row r="241" spans="1:58" outlineLevel="1" x14ac:dyDescent="0.35">
      <c r="B241" s="329" t="s">
        <v>129</v>
      </c>
      <c r="C241" s="516" t="s">
        <v>920</v>
      </c>
      <c r="D241" s="491">
        <f t="shared" si="188"/>
        <v>119028167.29199991</v>
      </c>
      <c r="E241" s="1306"/>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81"/>
      <c r="AN241" s="471"/>
      <c r="AO241" s="471"/>
      <c r="AP241" s="471"/>
      <c r="AQ241" s="471"/>
      <c r="AR241" s="471"/>
      <c r="AS241" s="1306"/>
      <c r="AT241" s="471"/>
      <c r="AU241" s="471"/>
      <c r="AV241" s="471"/>
      <c r="AW241" s="471"/>
      <c r="AX241" s="471"/>
      <c r="AY241" s="471"/>
      <c r="AZ241" s="471"/>
      <c r="BB241" s="492">
        <f t="shared" si="189"/>
        <v>0</v>
      </c>
      <c r="BC241" s="470">
        <f t="shared" si="190"/>
        <v>119028167.29199991</v>
      </c>
      <c r="BD241" s="444"/>
      <c r="BE241" s="173"/>
      <c r="BF241" s="336"/>
    </row>
    <row r="242" spans="1:58" outlineLevel="1" x14ac:dyDescent="0.35">
      <c r="B242" s="329" t="s">
        <v>130</v>
      </c>
      <c r="C242" s="516" t="s">
        <v>920</v>
      </c>
      <c r="D242" s="470">
        <f t="shared" si="188"/>
        <v>-1200697.579405</v>
      </c>
      <c r="E242" s="1306"/>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81"/>
      <c r="AN242" s="471"/>
      <c r="AO242" s="471"/>
      <c r="AP242" s="471"/>
      <c r="AQ242" s="471"/>
      <c r="AR242" s="471"/>
      <c r="AS242" s="1306"/>
      <c r="AT242" s="471"/>
      <c r="AU242" s="471"/>
      <c r="AV242" s="471"/>
      <c r="AW242" s="471"/>
      <c r="AX242" s="471"/>
      <c r="AY242" s="471"/>
      <c r="AZ242" s="471"/>
      <c r="BB242" s="470">
        <f t="shared" si="189"/>
        <v>0</v>
      </c>
      <c r="BC242" s="470">
        <f t="shared" si="190"/>
        <v>-1200697.579405</v>
      </c>
      <c r="BD242" s="444"/>
      <c r="BE242" s="173"/>
      <c r="BF242" s="336"/>
    </row>
    <row r="243" spans="1:58" ht="15" outlineLevel="1" thickBot="1" x14ac:dyDescent="0.4">
      <c r="B243" s="329" t="s">
        <v>22</v>
      </c>
      <c r="C243" s="516" t="s">
        <v>920</v>
      </c>
      <c r="D243" s="493">
        <f>SUM(D237:D242)</f>
        <v>2900790224.7215991</v>
      </c>
      <c r="E243" s="1314">
        <f t="shared" ref="E243:X243" si="191">SUM(E237:E242)</f>
        <v>0</v>
      </c>
      <c r="F243" s="519">
        <f t="shared" si="191"/>
        <v>0</v>
      </c>
      <c r="G243" s="519">
        <f t="shared" si="191"/>
        <v>0</v>
      </c>
      <c r="H243" s="519">
        <f t="shared" si="191"/>
        <v>0</v>
      </c>
      <c r="I243" s="519">
        <f t="shared" si="191"/>
        <v>0</v>
      </c>
      <c r="J243" s="519">
        <f t="shared" si="191"/>
        <v>0</v>
      </c>
      <c r="K243" s="519">
        <f t="shared" si="191"/>
        <v>0</v>
      </c>
      <c r="L243" s="519">
        <f t="shared" si="191"/>
        <v>0</v>
      </c>
      <c r="M243" s="519">
        <f t="shared" si="191"/>
        <v>0</v>
      </c>
      <c r="N243" s="519">
        <f t="shared" si="191"/>
        <v>0</v>
      </c>
      <c r="O243" s="519">
        <f t="shared" si="191"/>
        <v>0</v>
      </c>
      <c r="P243" s="519">
        <f t="shared" si="191"/>
        <v>0</v>
      </c>
      <c r="Q243" s="519">
        <f t="shared" si="191"/>
        <v>0</v>
      </c>
      <c r="R243" s="519">
        <f t="shared" si="191"/>
        <v>0</v>
      </c>
      <c r="S243" s="519">
        <f t="shared" si="191"/>
        <v>0</v>
      </c>
      <c r="T243" s="519">
        <f t="shared" si="191"/>
        <v>0</v>
      </c>
      <c r="U243" s="519">
        <f t="shared" si="191"/>
        <v>0</v>
      </c>
      <c r="V243" s="519">
        <f t="shared" si="191"/>
        <v>0</v>
      </c>
      <c r="W243" s="519">
        <f t="shared" si="191"/>
        <v>0</v>
      </c>
      <c r="X243" s="519">
        <f t="shared" si="191"/>
        <v>0</v>
      </c>
      <c r="Y243" s="519">
        <f>SUM(Y238:Y242)</f>
        <v>0</v>
      </c>
      <c r="Z243" s="519">
        <f t="shared" ref="Z243:AR243" si="192">SUM(Z237:Z242)</f>
        <v>0</v>
      </c>
      <c r="AA243" s="519">
        <f t="shared" si="192"/>
        <v>0</v>
      </c>
      <c r="AB243" s="519">
        <f t="shared" si="192"/>
        <v>0</v>
      </c>
      <c r="AC243" s="519">
        <f t="shared" si="192"/>
        <v>0</v>
      </c>
      <c r="AD243" s="519">
        <f t="shared" ref="AD243" si="193">SUM(AD237:AD242)</f>
        <v>0</v>
      </c>
      <c r="AE243" s="519">
        <f t="shared" si="192"/>
        <v>-110651507.27837408</v>
      </c>
      <c r="AF243" s="519">
        <f t="shared" si="192"/>
        <v>424163.73</v>
      </c>
      <c r="AG243" s="519">
        <f t="shared" si="192"/>
        <v>52167450.423619971</v>
      </c>
      <c r="AH243" s="519">
        <f t="shared" ref="AH243:AJ243" si="194">SUM(AH237:AH242)</f>
        <v>24244937.780000035</v>
      </c>
      <c r="AI243" s="519">
        <f t="shared" si="194"/>
        <v>-280261.93000000005</v>
      </c>
      <c r="AJ243" s="519">
        <f t="shared" si="194"/>
        <v>4403069.303989986</v>
      </c>
      <c r="AK243" s="519">
        <f t="shared" si="192"/>
        <v>0</v>
      </c>
      <c r="AL243" s="519">
        <f t="shared" si="192"/>
        <v>0</v>
      </c>
      <c r="AM243" s="494">
        <f t="shared" ref="AM243:AO243" si="195">SUM(AM237:AM242)</f>
        <v>0</v>
      </c>
      <c r="AN243" s="494">
        <f t="shared" si="195"/>
        <v>0</v>
      </c>
      <c r="AO243" s="494">
        <f t="shared" si="195"/>
        <v>0</v>
      </c>
      <c r="AP243" s="519">
        <f t="shared" si="192"/>
        <v>0</v>
      </c>
      <c r="AQ243" s="519">
        <f t="shared" si="192"/>
        <v>-5170723.4230643986</v>
      </c>
      <c r="AR243" s="519">
        <f t="shared" si="192"/>
        <v>576639.62190245662</v>
      </c>
      <c r="AS243" s="1314">
        <f t="shared" ref="AS243" si="196">SUM(AS237:AS242)</f>
        <v>0</v>
      </c>
      <c r="AT243" s="519"/>
      <c r="AU243" s="519"/>
      <c r="AV243" s="519"/>
      <c r="AW243" s="519"/>
      <c r="AX243" s="519"/>
      <c r="AY243" s="519"/>
      <c r="AZ243" s="519"/>
      <c r="BB243" s="493">
        <f>SUM(BB237:BB242)</f>
        <v>-34286231.771925993</v>
      </c>
      <c r="BC243" s="493">
        <f>SUM(BC237:BC242)</f>
        <v>2866503992.9496732</v>
      </c>
      <c r="BD243" s="444"/>
      <c r="BE243" s="173"/>
      <c r="BF243" s="336"/>
    </row>
    <row r="244" spans="1:58" ht="15" outlineLevel="1" thickTop="1" x14ac:dyDescent="0.35">
      <c r="C244" s="516" t="s">
        <v>920</v>
      </c>
      <c r="D244" s="466"/>
      <c r="E244" s="1308"/>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c r="AF244" s="341"/>
      <c r="AG244" s="341"/>
      <c r="AH244" s="341"/>
      <c r="AI244" s="341"/>
      <c r="AJ244" s="341"/>
      <c r="AK244" s="341"/>
      <c r="AL244" s="341"/>
      <c r="AN244" s="341"/>
      <c r="AO244" s="341"/>
      <c r="AP244" s="341"/>
      <c r="AQ244" s="341"/>
      <c r="AR244" s="341"/>
      <c r="AS244" s="1308"/>
      <c r="AT244" s="341"/>
      <c r="AU244" s="341"/>
      <c r="AV244" s="341"/>
      <c r="AW244" s="341"/>
      <c r="AX244" s="341"/>
      <c r="AY244" s="341"/>
      <c r="AZ244" s="341"/>
      <c r="BB244" s="466"/>
      <c r="BC244" s="466"/>
      <c r="BD244" s="444"/>
      <c r="BE244" s="173"/>
      <c r="BF244" s="336"/>
    </row>
    <row r="245" spans="1:58" outlineLevel="1" x14ac:dyDescent="0.35">
      <c r="B245" s="329" t="s">
        <v>29</v>
      </c>
      <c r="C245" s="516" t="s">
        <v>920</v>
      </c>
      <c r="D245" s="496">
        <f>+'Def, COC, ConvF DPK-7 '!C13</f>
        <v>7.3575000000000002E-2</v>
      </c>
      <c r="E245" s="1315">
        <f>+'Def, COC, ConvF DPK-7 '!C13</f>
        <v>7.3575000000000002E-2</v>
      </c>
      <c r="F245" s="520">
        <f>+'Def, COC, ConvF DPK-7 '!C13</f>
        <v>7.3575000000000002E-2</v>
      </c>
      <c r="G245" s="520">
        <f>+'Def, COC, ConvF DPK-7 '!C13</f>
        <v>7.3575000000000002E-2</v>
      </c>
      <c r="H245" s="520">
        <f>+'Def, COC, ConvF DPK-7 '!C13</f>
        <v>7.3575000000000002E-2</v>
      </c>
      <c r="I245" s="520">
        <f>+'Def, COC, ConvF DPK-7 '!C13</f>
        <v>7.3575000000000002E-2</v>
      </c>
      <c r="J245" s="520">
        <f>+'Def, COC, ConvF DPK-7 '!C13</f>
        <v>7.3575000000000002E-2</v>
      </c>
      <c r="K245" s="520">
        <f>+'Def, COC, ConvF DPK-7 '!C13</f>
        <v>7.3575000000000002E-2</v>
      </c>
      <c r="L245" s="520">
        <f>+'Def, COC, ConvF DPK-7 '!C13</f>
        <v>7.3575000000000002E-2</v>
      </c>
      <c r="M245" s="520">
        <f>+'Def, COC, ConvF DPK-7 '!C13</f>
        <v>7.3575000000000002E-2</v>
      </c>
      <c r="N245" s="520">
        <f>+'Def, COC, ConvF DPK-7 '!C13</f>
        <v>7.3575000000000002E-2</v>
      </c>
      <c r="O245" s="520">
        <f>+'Def, COC, ConvF DPK-7 '!C13</f>
        <v>7.3575000000000002E-2</v>
      </c>
      <c r="P245" s="520">
        <f>+'Def, COC, ConvF DPK-7 '!C13</f>
        <v>7.3575000000000002E-2</v>
      </c>
      <c r="Q245" s="520">
        <f>+'Def, COC, ConvF DPK-7 '!C13</f>
        <v>7.3575000000000002E-2</v>
      </c>
      <c r="R245" s="520">
        <f>+'Def, COC, ConvF DPK-7 '!C13</f>
        <v>7.3575000000000002E-2</v>
      </c>
      <c r="S245" s="520">
        <f>+'Def, COC, ConvF DPK-7 '!C13</f>
        <v>7.3575000000000002E-2</v>
      </c>
      <c r="T245" s="520">
        <f>+'Def, COC, ConvF DPK-7 '!C13</f>
        <v>7.3575000000000002E-2</v>
      </c>
      <c r="U245" s="520">
        <f>+'Def, COC, ConvF DPK-7 '!C13</f>
        <v>7.3575000000000002E-2</v>
      </c>
      <c r="V245" s="520">
        <f>+'Def, COC, ConvF DPK-7 '!C13</f>
        <v>7.3575000000000002E-2</v>
      </c>
      <c r="W245" s="520">
        <f>+'Def, COC, ConvF DPK-7 '!C13</f>
        <v>7.3575000000000002E-2</v>
      </c>
      <c r="X245" s="520">
        <f>+'Def, COC, ConvF DPK-7 '!C13</f>
        <v>7.3575000000000002E-2</v>
      </c>
      <c r="Y245" s="520">
        <f>+'Def, COC, ConvF DPK-7 '!C13</f>
        <v>7.3575000000000002E-2</v>
      </c>
      <c r="Z245" s="520">
        <f>+'Def, COC, ConvF DPK-7 '!C13</f>
        <v>7.3575000000000002E-2</v>
      </c>
      <c r="AA245" s="520">
        <f>+'Def, COC, ConvF DPK-7 '!C13</f>
        <v>7.3575000000000002E-2</v>
      </c>
      <c r="AB245" s="520">
        <f>+'Def, COC, ConvF DPK-7 '!C13</f>
        <v>7.3575000000000002E-2</v>
      </c>
      <c r="AC245" s="520">
        <f>+'Def, COC, ConvF DPK-7 '!C13</f>
        <v>7.3575000000000002E-2</v>
      </c>
      <c r="AD245" s="520">
        <f>+'Def, COC, ConvF DPK-7 '!C13</f>
        <v>7.3575000000000002E-2</v>
      </c>
      <c r="AE245" s="520">
        <f>+'Def, COC, ConvF DPK-7 '!C13</f>
        <v>7.3575000000000002E-2</v>
      </c>
      <c r="AF245" s="520">
        <f>+'Def, COC, ConvF DPK-7 '!C13</f>
        <v>7.3575000000000002E-2</v>
      </c>
      <c r="AG245" s="520">
        <f>+'Def, COC, ConvF DPK-7 '!$C$13</f>
        <v>7.3575000000000002E-2</v>
      </c>
      <c r="AH245" s="520">
        <f>+'Def, COC, ConvF DPK-7 '!$C$13</f>
        <v>7.3575000000000002E-2</v>
      </c>
      <c r="AI245" s="520">
        <f>+'Def, COC, ConvF DPK-7 '!$C$13</f>
        <v>7.3575000000000002E-2</v>
      </c>
      <c r="AJ245" s="520">
        <f>+'Def, COC, ConvF DPK-7 '!$C$13</f>
        <v>7.3575000000000002E-2</v>
      </c>
      <c r="AK245" s="520">
        <f>+'Def, COC, ConvF DPK-7 '!C13</f>
        <v>7.3575000000000002E-2</v>
      </c>
      <c r="AL245" s="520">
        <f>+'Def, COC, ConvF DPK-7 '!C13</f>
        <v>7.3575000000000002E-2</v>
      </c>
      <c r="AM245" s="497">
        <f>+'Def, COC, ConvF DPK-7 '!$C$13</f>
        <v>7.3575000000000002E-2</v>
      </c>
      <c r="AN245" s="497">
        <f>+'Def, COC, ConvF DPK-7 '!$C$13</f>
        <v>7.3575000000000002E-2</v>
      </c>
      <c r="AO245" s="497">
        <f>+'Def, COC, ConvF DPK-7 '!$C$13</f>
        <v>7.3575000000000002E-2</v>
      </c>
      <c r="AP245" s="520">
        <f>+'Def, COC, ConvF DPK-7 '!C13</f>
        <v>7.3575000000000002E-2</v>
      </c>
      <c r="AQ245" s="520">
        <f>+'Def, COC, ConvF DPK-7 '!C13</f>
        <v>7.3575000000000002E-2</v>
      </c>
      <c r="AR245" s="520">
        <f>+'Def, COC, ConvF DPK-7 '!C13</f>
        <v>7.3575000000000002E-2</v>
      </c>
      <c r="AS245" s="1315">
        <f>+AR245</f>
        <v>7.3575000000000002E-2</v>
      </c>
      <c r="AT245" s="520"/>
      <c r="AU245" s="520"/>
      <c r="AV245" s="520"/>
      <c r="AW245" s="520"/>
      <c r="AX245" s="520"/>
      <c r="AY245" s="520"/>
      <c r="AZ245" s="520"/>
      <c r="BB245" s="496">
        <f>+'Def, COC, ConvF DPK-7 '!C13</f>
        <v>7.3575000000000002E-2</v>
      </c>
      <c r="BC245" s="496">
        <f>+'Def, COC, ConvF DPK-7 '!C13</f>
        <v>7.3575000000000002E-2</v>
      </c>
      <c r="BD245" s="444"/>
      <c r="BE245" s="173"/>
      <c r="BF245" s="336"/>
    </row>
    <row r="246" spans="1:58" outlineLevel="1" x14ac:dyDescent="0.35">
      <c r="B246" s="329" t="s">
        <v>23</v>
      </c>
      <c r="C246" s="516" t="s">
        <v>920</v>
      </c>
      <c r="D246" s="466">
        <f>+'Def, COC, ConvF DPK-7 '!P20</f>
        <v>0.75421300000000002</v>
      </c>
      <c r="E246" s="1308">
        <f>+'Def, COC, ConvF DPK-7 '!P20</f>
        <v>0.75421300000000002</v>
      </c>
      <c r="F246" s="341">
        <f>+'Def, COC, ConvF DPK-7 '!P20</f>
        <v>0.75421300000000002</v>
      </c>
      <c r="G246" s="341">
        <f>+'Def, COC, ConvF DPK-7 '!P20</f>
        <v>0.75421300000000002</v>
      </c>
      <c r="H246" s="341">
        <f>+'Def, COC, ConvF DPK-7 '!P20</f>
        <v>0.75421300000000002</v>
      </c>
      <c r="I246" s="341">
        <f>+'Def, COC, ConvF DPK-7 '!P20</f>
        <v>0.75421300000000002</v>
      </c>
      <c r="J246" s="341">
        <f>+'Def, COC, ConvF DPK-7 '!P20</f>
        <v>0.75421300000000002</v>
      </c>
      <c r="K246" s="341">
        <f>+'Def, COC, ConvF DPK-7 '!P20</f>
        <v>0.75421300000000002</v>
      </c>
      <c r="L246" s="341">
        <f>+'Def, COC, ConvF DPK-7 '!P20</f>
        <v>0.75421300000000002</v>
      </c>
      <c r="M246" s="341">
        <f>+'Def, COC, ConvF DPK-7 '!P20</f>
        <v>0.75421300000000002</v>
      </c>
      <c r="N246" s="341">
        <f>+'Def, COC, ConvF DPK-7 '!P20</f>
        <v>0.75421300000000002</v>
      </c>
      <c r="O246" s="341">
        <f>+'Def, COC, ConvF DPK-7 '!P20</f>
        <v>0.75421300000000002</v>
      </c>
      <c r="P246" s="341">
        <f>+'Def, COC, ConvF DPK-7 '!P20</f>
        <v>0.75421300000000002</v>
      </c>
      <c r="Q246" s="341">
        <f>+'Def, COC, ConvF DPK-7 '!P20</f>
        <v>0.75421300000000002</v>
      </c>
      <c r="R246" s="341">
        <f>+'Def, COC, ConvF DPK-7 '!P20</f>
        <v>0.75421300000000002</v>
      </c>
      <c r="S246" s="341">
        <f>+'Def, COC, ConvF DPK-7 '!P20</f>
        <v>0.75421300000000002</v>
      </c>
      <c r="T246" s="341">
        <f>+'Def, COC, ConvF DPK-7 '!P20</f>
        <v>0.75421300000000002</v>
      </c>
      <c r="U246" s="341">
        <f>+'Def, COC, ConvF DPK-7 '!P20</f>
        <v>0.75421300000000002</v>
      </c>
      <c r="V246" s="341">
        <f>+'Def, COC, ConvF DPK-7 '!P20</f>
        <v>0.75421300000000002</v>
      </c>
      <c r="W246" s="341">
        <f>+'Def, COC, ConvF DPK-7 '!P20</f>
        <v>0.75421300000000002</v>
      </c>
      <c r="X246" s="341">
        <f>+'Def, COC, ConvF DPK-7 '!P20</f>
        <v>0.75421300000000002</v>
      </c>
      <c r="Y246" s="341">
        <f>+'Def, COC, ConvF DPK-7 '!P20</f>
        <v>0.75421300000000002</v>
      </c>
      <c r="Z246" s="341">
        <f>+'Def, COC, ConvF DPK-7 '!P20</f>
        <v>0.75421300000000002</v>
      </c>
      <c r="AA246" s="341">
        <f>+'Def, COC, ConvF DPK-7 '!P20</f>
        <v>0.75421300000000002</v>
      </c>
      <c r="AB246" s="341">
        <f>+'Def, COC, ConvF DPK-7 '!P20</f>
        <v>0.75421300000000002</v>
      </c>
      <c r="AC246" s="341">
        <f>+'Def, COC, ConvF DPK-7 '!P20</f>
        <v>0.75421300000000002</v>
      </c>
      <c r="AD246" s="341">
        <f>+'Def, COC, ConvF DPK-7 '!P20</f>
        <v>0.75421300000000002</v>
      </c>
      <c r="AE246" s="341">
        <f>+'Def, COC, ConvF DPK-7 '!P20</f>
        <v>0.75421300000000002</v>
      </c>
      <c r="AF246" s="341">
        <f>+'Def, COC, ConvF DPK-7 '!P20</f>
        <v>0.75421300000000002</v>
      </c>
      <c r="AG246" s="341">
        <f>+'Def, COC, ConvF DPK-7 '!$P$20</f>
        <v>0.75421300000000002</v>
      </c>
      <c r="AH246" s="341">
        <f>+'Def, COC, ConvF DPK-7 '!$P$20</f>
        <v>0.75421300000000002</v>
      </c>
      <c r="AI246" s="341">
        <f>+'Def, COC, ConvF DPK-7 '!$P$20</f>
        <v>0.75421300000000002</v>
      </c>
      <c r="AJ246" s="341">
        <f>+'Def, COC, ConvF DPK-7 '!$P$20</f>
        <v>0.75421300000000002</v>
      </c>
      <c r="AK246" s="341">
        <f>+'Def, COC, ConvF DPK-7 '!P20</f>
        <v>0.75421300000000002</v>
      </c>
      <c r="AL246" s="341">
        <f>+'Def, COC, ConvF DPK-7 '!P20</f>
        <v>0.75421300000000002</v>
      </c>
      <c r="AM246" s="329">
        <f>+'Def, COC, ConvF DPK-7 '!$P$20</f>
        <v>0.75421300000000002</v>
      </c>
      <c r="AN246" s="329">
        <f>+'Def, COC, ConvF DPK-7 '!$P$20</f>
        <v>0.75421300000000002</v>
      </c>
      <c r="AO246" s="329">
        <f>+'Def, COC, ConvF DPK-7 '!$P$20</f>
        <v>0.75421300000000002</v>
      </c>
      <c r="AP246" s="341">
        <f>+'Def, COC, ConvF DPK-7 '!P20</f>
        <v>0.75421300000000002</v>
      </c>
      <c r="AQ246" s="341">
        <f>+'Def, COC, ConvF DPK-7 '!P20</f>
        <v>0.75421300000000002</v>
      </c>
      <c r="AR246" s="341">
        <f>+'Def, COC, ConvF DPK-7 '!P20</f>
        <v>0.75421300000000002</v>
      </c>
      <c r="AS246" s="1308">
        <f>+'Def, COC, ConvF DPK-7 '!P18</f>
        <v>0.95469999999999999</v>
      </c>
      <c r="AT246" s="341"/>
      <c r="AU246" s="341"/>
      <c r="AV246" s="341"/>
      <c r="AW246" s="341"/>
      <c r="AX246" s="341"/>
      <c r="AY246" s="341"/>
      <c r="AZ246" s="341"/>
      <c r="BB246" s="466">
        <f>+'Def, COC, ConvF DPK-7 '!P20</f>
        <v>0.75421300000000002</v>
      </c>
      <c r="BC246" s="466">
        <f>+'Def, COC, ConvF DPK-7 '!P20</f>
        <v>0.75421300000000002</v>
      </c>
      <c r="BD246" s="444"/>
      <c r="BE246" s="173"/>
      <c r="BF246" s="336"/>
    </row>
    <row r="247" spans="1:58" outlineLevel="1" x14ac:dyDescent="0.35">
      <c r="B247" s="329" t="s">
        <v>186</v>
      </c>
      <c r="C247" s="516" t="s">
        <v>920</v>
      </c>
      <c r="D247" s="470">
        <f>+D230-(D243*D245)</f>
        <v>-86588391.205944568</v>
      </c>
      <c r="E247" s="1316">
        <f t="shared" ref="E247:AR247" si="197">+E230-(E243*E245)</f>
        <v>-2718384.2726579998</v>
      </c>
      <c r="F247" s="356">
        <f t="shared" si="197"/>
        <v>0</v>
      </c>
      <c r="G247" s="356">
        <f t="shared" si="197"/>
        <v>0</v>
      </c>
      <c r="H247" s="356">
        <f t="shared" si="197"/>
        <v>3984285.403344369</v>
      </c>
      <c r="I247" s="356">
        <f t="shared" si="197"/>
        <v>532996.14814697567</v>
      </c>
      <c r="J247" s="356">
        <f t="shared" si="197"/>
        <v>0</v>
      </c>
      <c r="K247" s="356">
        <f t="shared" si="197"/>
        <v>0</v>
      </c>
      <c r="L247" s="356">
        <f t="shared" si="197"/>
        <v>0</v>
      </c>
      <c r="M247" s="356">
        <f t="shared" si="197"/>
        <v>0</v>
      </c>
      <c r="N247" s="356">
        <f t="shared" si="197"/>
        <v>0</v>
      </c>
      <c r="O247" s="356">
        <f t="shared" si="197"/>
        <v>-19246.648578410714</v>
      </c>
      <c r="P247" s="356">
        <f t="shared" si="197"/>
        <v>0</v>
      </c>
      <c r="Q247" s="356">
        <f t="shared" si="197"/>
        <v>0</v>
      </c>
      <c r="R247" s="356">
        <f t="shared" si="197"/>
        <v>0</v>
      </c>
      <c r="S247" s="356">
        <f t="shared" si="197"/>
        <v>0</v>
      </c>
      <c r="T247" s="356">
        <f t="shared" si="197"/>
        <v>0</v>
      </c>
      <c r="U247" s="356">
        <f t="shared" si="197"/>
        <v>0</v>
      </c>
      <c r="V247" s="356">
        <f t="shared" si="197"/>
        <v>0</v>
      </c>
      <c r="W247" s="356">
        <f t="shared" si="197"/>
        <v>0</v>
      </c>
      <c r="X247" s="356">
        <f t="shared" si="197"/>
        <v>0</v>
      </c>
      <c r="Y247" s="356">
        <f t="shared" si="197"/>
        <v>0</v>
      </c>
      <c r="Z247" s="356">
        <f t="shared" si="197"/>
        <v>-3301998.5104280058</v>
      </c>
      <c r="AA247" s="356">
        <f t="shared" si="197"/>
        <v>0</v>
      </c>
      <c r="AB247" s="356">
        <f t="shared" si="197"/>
        <v>-3727575.3505524765</v>
      </c>
      <c r="AC247" s="356">
        <f t="shared" si="197"/>
        <v>1366472.8491678936</v>
      </c>
      <c r="AD247" s="356">
        <f t="shared" ref="AD247" si="198">+AD230-(AD243*AD245)</f>
        <v>0</v>
      </c>
      <c r="AE247" s="356">
        <f t="shared" si="197"/>
        <v>-45103403.446617655</v>
      </c>
      <c r="AF247" s="356">
        <f t="shared" si="197"/>
        <v>465896.32766525086</v>
      </c>
      <c r="AG247" s="356">
        <f t="shared" si="197"/>
        <v>-12257222.24557524</v>
      </c>
      <c r="AH247" s="356">
        <f t="shared" ref="AH247:AJ247" si="199">+AH230-(AH243*AH245)</f>
        <v>-5459670.298963502</v>
      </c>
      <c r="AI247" s="356">
        <f t="shared" si="199"/>
        <v>-334814.37180024997</v>
      </c>
      <c r="AJ247" s="356">
        <f t="shared" si="199"/>
        <v>-7575797.2604289632</v>
      </c>
      <c r="AK247" s="356">
        <f t="shared" ref="AK247:AL247" si="200">+AK230-(AK243*AK245)</f>
        <v>0</v>
      </c>
      <c r="AL247" s="356">
        <f t="shared" si="200"/>
        <v>-1898572.9427632273</v>
      </c>
      <c r="AM247" s="356">
        <f t="shared" ref="AM247:AO247" si="201">+AM230-(AM243*AM245)</f>
        <v>-48980</v>
      </c>
      <c r="AN247" s="356">
        <f t="shared" ref="AN247" si="202">+AN230-(AN243*AN245)</f>
        <v>0</v>
      </c>
      <c r="AO247" s="356">
        <f t="shared" si="201"/>
        <v>-318969.52152150846</v>
      </c>
      <c r="AP247" s="356">
        <f t="shared" si="197"/>
        <v>0</v>
      </c>
      <c r="AQ247" s="356">
        <f t="shared" si="197"/>
        <v>370236.87098004948</v>
      </c>
      <c r="AR247" s="356">
        <f t="shared" si="197"/>
        <v>479668.94427377777</v>
      </c>
      <c r="AS247" s="1316">
        <f t="shared" ref="AS247" si="203">+AS230-(AS243*AS245)</f>
        <v>-3852325</v>
      </c>
      <c r="AT247" s="356"/>
      <c r="AU247" s="356"/>
      <c r="AV247" s="356"/>
      <c r="AW247" s="356"/>
      <c r="AX247" s="356"/>
      <c r="AY247" s="356"/>
      <c r="AZ247" s="356"/>
      <c r="BB247" s="470">
        <f>SUM(E247:AZ247)</f>
        <v>-79417403.326308906</v>
      </c>
      <c r="BC247" s="470">
        <f>+BC230-(BC243*BC245)</f>
        <v>-166005794.53225347</v>
      </c>
      <c r="BD247" s="444"/>
      <c r="BE247" s="173"/>
      <c r="BF247" s="336"/>
    </row>
    <row r="248" spans="1:58" outlineLevel="1" x14ac:dyDescent="0.35">
      <c r="B248" s="329" t="s">
        <v>187</v>
      </c>
      <c r="C248" s="516" t="s">
        <v>920</v>
      </c>
      <c r="D248" s="470">
        <f>-D247/D246</f>
        <v>114806283.11358272</v>
      </c>
      <c r="E248" s="1316">
        <f t="shared" ref="E248:AR248" si="204">-E247/E246</f>
        <v>3604265.9999999995</v>
      </c>
      <c r="F248" s="356">
        <f t="shared" si="204"/>
        <v>0</v>
      </c>
      <c r="G248" s="356">
        <f t="shared" si="204"/>
        <v>0</v>
      </c>
      <c r="H248" s="356">
        <f t="shared" si="204"/>
        <v>-5282705.8183091106</v>
      </c>
      <c r="I248" s="356">
        <f t="shared" si="204"/>
        <v>-706691.80741644022</v>
      </c>
      <c r="J248" s="356">
        <f t="shared" si="204"/>
        <v>0</v>
      </c>
      <c r="K248" s="356">
        <f t="shared" si="204"/>
        <v>0</v>
      </c>
      <c r="L248" s="356">
        <f t="shared" si="204"/>
        <v>0</v>
      </c>
      <c r="M248" s="356">
        <f t="shared" si="204"/>
        <v>0</v>
      </c>
      <c r="N248" s="356">
        <f t="shared" si="204"/>
        <v>0</v>
      </c>
      <c r="O248" s="356">
        <f t="shared" si="204"/>
        <v>25518.850216597584</v>
      </c>
      <c r="P248" s="356">
        <f t="shared" si="204"/>
        <v>0</v>
      </c>
      <c r="Q248" s="356">
        <f t="shared" si="204"/>
        <v>0</v>
      </c>
      <c r="R248" s="356">
        <f t="shared" si="204"/>
        <v>0</v>
      </c>
      <c r="S248" s="356">
        <f t="shared" si="204"/>
        <v>0</v>
      </c>
      <c r="T248" s="356">
        <f t="shared" si="204"/>
        <v>0</v>
      </c>
      <c r="U248" s="356">
        <f t="shared" si="204"/>
        <v>0</v>
      </c>
      <c r="V248" s="356">
        <f t="shared" si="204"/>
        <v>0</v>
      </c>
      <c r="W248" s="356">
        <f t="shared" si="204"/>
        <v>0</v>
      </c>
      <c r="X248" s="356">
        <f t="shared" si="204"/>
        <v>0</v>
      </c>
      <c r="Y248" s="356">
        <f t="shared" si="204"/>
        <v>0</v>
      </c>
      <c r="Z248" s="356">
        <f t="shared" si="204"/>
        <v>4378071.593075173</v>
      </c>
      <c r="AA248" s="356">
        <f t="shared" si="204"/>
        <v>0</v>
      </c>
      <c r="AB248" s="356">
        <f t="shared" si="204"/>
        <v>4942337.7090456896</v>
      </c>
      <c r="AC248" s="356">
        <f t="shared" si="204"/>
        <v>-1811786.3908045786</v>
      </c>
      <c r="AD248" s="356">
        <f t="shared" ref="AD248" si="205">-AD247/AD246</f>
        <v>0</v>
      </c>
      <c r="AE248" s="356">
        <f t="shared" si="204"/>
        <v>59801943.809795976</v>
      </c>
      <c r="AF248" s="356">
        <f t="shared" si="204"/>
        <v>-617725.13555885514</v>
      </c>
      <c r="AG248" s="356">
        <f t="shared" si="204"/>
        <v>16251671.935613997</v>
      </c>
      <c r="AH248" s="356">
        <f t="shared" ref="AH248:AJ248" si="206">-AH247/AH246</f>
        <v>7238897.1006380189</v>
      </c>
      <c r="AI248" s="356">
        <f t="shared" si="206"/>
        <v>443925.4849760611</v>
      </c>
      <c r="AJ248" s="356">
        <f t="shared" si="206"/>
        <v>10044638.928829074</v>
      </c>
      <c r="AK248" s="356">
        <f t="shared" ref="AK248:AL248" si="207">-AK247/AK246</f>
        <v>0</v>
      </c>
      <c r="AL248" s="356">
        <f t="shared" si="207"/>
        <v>2517290.1325795595</v>
      </c>
      <c r="AM248" s="356">
        <f t="shared" ref="AM248:AO248" si="208">-AM247/AM246</f>
        <v>64941.866554938722</v>
      </c>
      <c r="AN248" s="356">
        <f t="shared" ref="AN248" si="209">-AN247/AN246</f>
        <v>0</v>
      </c>
      <c r="AO248" s="356">
        <f t="shared" si="208"/>
        <v>422917.0294353299</v>
      </c>
      <c r="AP248" s="356">
        <f t="shared" si="204"/>
        <v>0</v>
      </c>
      <c r="AQ248" s="356">
        <f t="shared" si="204"/>
        <v>-490891.65922630538</v>
      </c>
      <c r="AR248" s="356">
        <f t="shared" si="204"/>
        <v>-635986.04674512078</v>
      </c>
      <c r="AS248" s="1316">
        <f t="shared" ref="AS248" si="210">-AS247/AS246</f>
        <v>4035115.7431653924</v>
      </c>
      <c r="AT248" s="356"/>
      <c r="AU248" s="356"/>
      <c r="AV248" s="356"/>
      <c r="AW248" s="356"/>
      <c r="AX248" s="356"/>
      <c r="AY248" s="356"/>
      <c r="AZ248" s="356"/>
      <c r="BB248" s="470">
        <f>-BB247/BB246</f>
        <v>105298375.02974479</v>
      </c>
      <c r="BC248" s="470">
        <f>-BC247/BC246</f>
        <v>220104658.1433275</v>
      </c>
      <c r="BD248" s="444"/>
      <c r="BE248" s="173"/>
      <c r="BF248" s="336"/>
    </row>
    <row r="249" spans="1:58" outlineLevel="1" x14ac:dyDescent="0.35">
      <c r="B249" s="329" t="s">
        <v>42</v>
      </c>
      <c r="C249" s="516" t="s">
        <v>920</v>
      </c>
      <c r="D249" s="470"/>
      <c r="E249" s="131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265"/>
      <c r="AN249" s="356"/>
      <c r="AO249" s="356"/>
      <c r="AP249" s="356"/>
      <c r="AQ249" s="356"/>
      <c r="AR249" s="356"/>
      <c r="AS249" s="1316"/>
      <c r="AT249" s="356"/>
      <c r="AU249" s="356"/>
      <c r="AV249" s="356"/>
      <c r="AW249" s="356"/>
      <c r="AX249" s="356"/>
      <c r="AY249" s="356"/>
      <c r="AZ249" s="356"/>
      <c r="BB249" s="470"/>
      <c r="BC249" s="470">
        <f>BC188</f>
        <v>0</v>
      </c>
      <c r="BD249" s="444"/>
      <c r="BE249" s="173"/>
      <c r="BF249" s="336"/>
    </row>
    <row r="250" spans="1:58" outlineLevel="1" x14ac:dyDescent="0.35">
      <c r="B250" s="329" t="s">
        <v>43</v>
      </c>
      <c r="C250" s="516" t="s">
        <v>920</v>
      </c>
      <c r="D250" s="470"/>
      <c r="E250" s="131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265"/>
      <c r="AN250" s="356"/>
      <c r="AO250" s="356"/>
      <c r="AP250" s="356"/>
      <c r="AQ250" s="356"/>
      <c r="AR250" s="356"/>
      <c r="AS250" s="1316"/>
      <c r="AT250" s="356"/>
      <c r="AU250" s="356"/>
      <c r="AV250" s="356"/>
      <c r="AW250" s="356"/>
      <c r="AX250" s="356"/>
      <c r="AY250" s="356"/>
      <c r="AZ250" s="356"/>
      <c r="BB250" s="470"/>
      <c r="BC250" s="512">
        <f>SUM(BC248:BC249)</f>
        <v>220104658.1433275</v>
      </c>
      <c r="BD250" s="444"/>
      <c r="BE250" s="173"/>
      <c r="BF250" s="336"/>
    </row>
    <row r="251" spans="1:58" outlineLevel="1" x14ac:dyDescent="0.35">
      <c r="C251" s="516" t="s">
        <v>920</v>
      </c>
      <c r="D251" s="498"/>
      <c r="E251" s="1316"/>
      <c r="F251" s="356"/>
      <c r="G251" s="356"/>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265"/>
      <c r="AN251" s="356"/>
      <c r="AO251" s="356"/>
      <c r="AP251" s="356"/>
      <c r="AQ251" s="356"/>
      <c r="AR251" s="356"/>
      <c r="AS251" s="1316"/>
      <c r="AT251" s="356"/>
      <c r="AU251" s="356"/>
      <c r="AV251" s="356"/>
      <c r="AW251" s="356"/>
      <c r="AX251" s="356"/>
      <c r="AY251" s="356"/>
      <c r="AZ251" s="356"/>
      <c r="BB251" s="498"/>
      <c r="BC251" s="498"/>
      <c r="BD251" s="444"/>
      <c r="BE251" s="173"/>
      <c r="BF251" s="336"/>
    </row>
    <row r="252" spans="1:58" outlineLevel="1" x14ac:dyDescent="0.35">
      <c r="C252" s="516" t="s">
        <v>920</v>
      </c>
      <c r="E252" s="1279"/>
      <c r="AS252" s="1279"/>
      <c r="BB252" s="497">
        <f>+'Def, COC, ConvF DPK-7 '!K27</f>
        <v>7.3575000000000002E-2</v>
      </c>
      <c r="BC252" s="497">
        <f>+'Def, COC, ConvF DPK-7 '!K27</f>
        <v>7.3575000000000002E-2</v>
      </c>
      <c r="BD252" s="444"/>
      <c r="BE252" s="173"/>
      <c r="BF252" s="336"/>
    </row>
    <row r="253" spans="1:58" outlineLevel="1" x14ac:dyDescent="0.35">
      <c r="B253" s="499" t="s">
        <v>939</v>
      </c>
      <c r="C253" s="516" t="s">
        <v>920</v>
      </c>
      <c r="D253" s="500"/>
      <c r="E253" s="1304">
        <f>ROUND('Common Adj'!K$71-E230,0)+E232</f>
        <v>0</v>
      </c>
      <c r="F253" s="551">
        <f>ROUND('Common Adj'!AC$65-F230,0)+F232</f>
        <v>0</v>
      </c>
      <c r="G253" s="551">
        <f>ROUND('Common Adj'!AU$30-G230,0)+G232</f>
        <v>0</v>
      </c>
      <c r="H253" s="551">
        <f>ROUND('Common Adj'!BM$22-H230,0)+ROUND('Common Adj'!BM$24-H232,0)</f>
        <v>0</v>
      </c>
      <c r="I253" s="551">
        <f>ROUND('Common Adj'!CE$24-I230,0)+I232</f>
        <v>0</v>
      </c>
      <c r="J253" s="551">
        <f>ROUND('Common Adj'!CW$20-J230,0)+J232</f>
        <v>0</v>
      </c>
      <c r="K253" s="551">
        <f>ROUND('Common Adj'!DO$22-K230,0)+K232</f>
        <v>0</v>
      </c>
      <c r="L253" s="551">
        <f>ROUND('Common Adj'!EG$21-L230,0)+L232</f>
        <v>0</v>
      </c>
      <c r="M253" s="551">
        <f>ROUND('Common Adj'!EY$27-M230,0)+M232</f>
        <v>0</v>
      </c>
      <c r="N253" s="551">
        <f>ROUND('Common Adj'!FQ$23-N230,0)+N232</f>
        <v>0</v>
      </c>
      <c r="O253" s="551">
        <f>ROUND('Common Adj'!GI$32-O230,0)+O232</f>
        <v>0</v>
      </c>
      <c r="P253" s="551">
        <f>ROUND('Common Adj'!HA$36-P230,0)+P232</f>
        <v>0</v>
      </c>
      <c r="Q253" s="551">
        <f>ROUND('Common Adj'!HS$18-Q230,0)+Q232</f>
        <v>0</v>
      </c>
      <c r="R253" s="551">
        <f>ROUND('Common Adj'!IK$21-R230,0)+R232</f>
        <v>0</v>
      </c>
      <c r="S253" s="551">
        <f>ROUND('Common Adj'!JC$22-S230,0)+S232</f>
        <v>0</v>
      </c>
      <c r="T253" s="551">
        <f>ROUND('Common Adj'!JU$23-T230,0)+T232</f>
        <v>0</v>
      </c>
      <c r="U253" s="551">
        <f>ROUND('Common Adj'!KM$20-U230,0)+U232</f>
        <v>0</v>
      </c>
      <c r="V253" s="551">
        <f>ROUND('Common Adj'!LE$33-V230,0)+V232</f>
        <v>0</v>
      </c>
      <c r="W253" s="551">
        <f>ROUND('Common Adj'!LW$22-W232,0)+W230</f>
        <v>0</v>
      </c>
      <c r="X253" s="551">
        <f>ROUND('Common Adj'!MO$31-X230,0)+ROUND('Common Adj'!MO$36-X232,0)</f>
        <v>0</v>
      </c>
      <c r="Y253" s="551">
        <f>ROUND('Common Adj'!NG$22-Y230,0)+Y232</f>
        <v>0</v>
      </c>
      <c r="Z253" s="551">
        <f>ROUND('Common Adj'!NY$31-Z230,0)+Z232</f>
        <v>0</v>
      </c>
      <c r="AA253" s="551">
        <f>ROUND('Common Adj'!OQ$35-AA230,0)+ROUND('Common Adj'!OQ$24-AA232,0)</f>
        <v>0</v>
      </c>
      <c r="AB253" s="551">
        <f>ROUND('Common Adj'!PI$53-AB230,0)+ROUND('Common Adj'!PI$35-AB232,0)</f>
        <v>0</v>
      </c>
      <c r="AC253" s="551">
        <f>ROUND('Common Adj'!QA$21-AC230,0)+AC232</f>
        <v>0</v>
      </c>
      <c r="AD253" s="551">
        <f>ROUND('Common Adj'!QT19-AD232,0)</f>
        <v>0</v>
      </c>
      <c r="AE253" s="551">
        <f>ROUND('Common Adj'!RL31-AE230,0)+ROUND('Common Adj'!RL36-AE232,0)</f>
        <v>0</v>
      </c>
      <c r="AF253" s="551">
        <f>ROUND('Common Adj'!SD30-AF230,0)+ROUND('Common Adj'!SD35-AF232,0)</f>
        <v>0</v>
      </c>
      <c r="AG253" s="551">
        <f>ROUND('Common Adj'!$SV$26-AG230,0)+ROUND('Common Adj'!$SV$31-AG232,0)</f>
        <v>0</v>
      </c>
      <c r="AH253" s="551">
        <f>ROUND('Common Adj'!$SV$44-AH230,0)+ROUND('Common Adj'!$SV$49-AH232,0)</f>
        <v>0</v>
      </c>
      <c r="AI253" s="551">
        <f>ROUND('Common Adj'!$SV$62-AI230,0)+ROUND('Common Adj'!$SV$67-AI232,0)</f>
        <v>0</v>
      </c>
      <c r="AJ253" s="551">
        <f>ROUND('Common Adj'!$SV$80-AJ230,0)+ROUND('Common Adj'!$SV$85-AJ232,0)</f>
        <v>0</v>
      </c>
      <c r="AK253" s="551">
        <f>ROUND('Common Adj'!UH$38-AK230,0)</f>
        <v>0</v>
      </c>
      <c r="AL253" s="551">
        <f>ROUND('Common Adj'!VA$27-AL230,0)+ROUND('Common Adj'!VA$19-AL232,0)</f>
        <v>0</v>
      </c>
      <c r="AM253" s="551">
        <f>ROUND('Common Adj'!TO$25-AM230,0)</f>
        <v>0</v>
      </c>
      <c r="AN253" s="551">
        <f>ROUND('Common Adj'!VT32-AN230,0)+ROUND(AN243-'Common Adj'!VT24,0)</f>
        <v>0</v>
      </c>
      <c r="AO253" s="551">
        <f>ROUND('Common Adj'!WI21-AO230,0)</f>
        <v>0</v>
      </c>
      <c r="AP253" s="551">
        <f>ROUND('Gas Adj'!BM$49-AP232,0)+ROUND('Gas Adj'!BM$33-AP230,0)</f>
        <v>0</v>
      </c>
      <c r="AQ253" s="551">
        <f>ROUND('Gas Adj'!CE$47-AQ230,0)+ROUND('Gas Adj'!CE$27-AQ232,0)</f>
        <v>0</v>
      </c>
      <c r="AR253" s="551">
        <f>ROUND('Gas Adj'!CW22-AR230+'Gas Adj'!CW31-AR232,0)</f>
        <v>0</v>
      </c>
      <c r="AS253" s="1304"/>
      <c r="AT253" s="547"/>
      <c r="AU253" s="548"/>
      <c r="AV253" s="549"/>
      <c r="AW253" s="549"/>
      <c r="AX253" s="549"/>
      <c r="AY253" s="549"/>
      <c r="AZ253" s="549"/>
      <c r="BB253" s="550"/>
      <c r="BC253" s="550"/>
      <c r="BD253" s="444"/>
      <c r="BF253" s="336"/>
    </row>
    <row r="254" spans="1:58" outlineLevel="1" x14ac:dyDescent="0.35">
      <c r="B254" s="499" t="s">
        <v>953</v>
      </c>
      <c r="C254" s="516" t="s">
        <v>920</v>
      </c>
      <c r="D254" s="551">
        <f>'Summary DPK-7 '!I47-D230</f>
        <v>0</v>
      </c>
      <c r="E254" s="1279"/>
      <c r="Z254" s="347"/>
      <c r="AS254" s="1279"/>
      <c r="BA254" s="329"/>
      <c r="BC254" s="551">
        <f>'Summary DPK-7 '!K47-BC230</f>
        <v>0</v>
      </c>
      <c r="BD254" s="444"/>
      <c r="BF254" s="336"/>
    </row>
    <row r="255" spans="1:58" outlineLevel="1" x14ac:dyDescent="0.35">
      <c r="B255" s="499" t="s">
        <v>954</v>
      </c>
      <c r="C255" s="516" t="s">
        <v>920</v>
      </c>
      <c r="D255" s="551">
        <f>'Summary DPK-7 '!I58-D243</f>
        <v>0</v>
      </c>
      <c r="E255" s="1279"/>
      <c r="AS255" s="1279"/>
      <c r="BA255" s="329"/>
      <c r="BC255" s="551">
        <f>'Summary DPK-7 '!K58-BC243</f>
        <v>0</v>
      </c>
      <c r="BD255" s="444"/>
      <c r="BF255" s="336"/>
    </row>
    <row r="256" spans="1:58" x14ac:dyDescent="0.35">
      <c r="A256" s="456"/>
      <c r="B256" s="503"/>
      <c r="C256" s="504"/>
      <c r="D256" s="462"/>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c r="AG256" s="456"/>
      <c r="AH256" s="456"/>
      <c r="AI256" s="456"/>
      <c r="AJ256" s="456"/>
      <c r="AK256" s="456"/>
      <c r="AL256" s="456"/>
      <c r="AM256" s="456"/>
      <c r="AN256" s="456"/>
      <c r="AO256" s="456"/>
      <c r="AP256" s="456"/>
      <c r="AQ256" s="456"/>
      <c r="AR256" s="456"/>
      <c r="AS256" s="456"/>
      <c r="AT256" s="456"/>
      <c r="AU256" s="456"/>
      <c r="AV256" s="456"/>
      <c r="AW256" s="456"/>
      <c r="AX256" s="456"/>
      <c r="AY256" s="456"/>
      <c r="AZ256" s="456"/>
      <c r="BB256" s="456"/>
      <c r="BC256" s="462"/>
      <c r="BD256" s="444"/>
      <c r="BF256" s="336"/>
    </row>
    <row r="257" spans="1:58" outlineLevel="1" x14ac:dyDescent="0.35">
      <c r="A257" s="456"/>
      <c r="B257" s="458"/>
      <c r="C257" s="459" t="s">
        <v>924</v>
      </c>
      <c r="D257" s="460"/>
      <c r="E257" s="461">
        <v>46357</v>
      </c>
      <c r="F257" s="461">
        <v>46357</v>
      </c>
      <c r="G257" s="461">
        <v>46357</v>
      </c>
      <c r="H257" s="461">
        <v>46357</v>
      </c>
      <c r="I257" s="461">
        <v>46357</v>
      </c>
      <c r="J257" s="461">
        <v>46357</v>
      </c>
      <c r="K257" s="461">
        <v>46357</v>
      </c>
      <c r="L257" s="461">
        <v>46357</v>
      </c>
      <c r="M257" s="461">
        <v>46357</v>
      </c>
      <c r="N257" s="461">
        <v>46357</v>
      </c>
      <c r="O257" s="461">
        <v>46357</v>
      </c>
      <c r="P257" s="461">
        <v>46357</v>
      </c>
      <c r="Q257" s="461">
        <v>46357</v>
      </c>
      <c r="R257" s="461">
        <v>46357</v>
      </c>
      <c r="S257" s="461">
        <v>46357</v>
      </c>
      <c r="T257" s="461">
        <v>46357</v>
      </c>
      <c r="U257" s="461">
        <v>46357</v>
      </c>
      <c r="V257" s="461">
        <v>46357</v>
      </c>
      <c r="W257" s="461">
        <v>46357</v>
      </c>
      <c r="X257" s="461">
        <v>46357</v>
      </c>
      <c r="Y257" s="461">
        <v>46357</v>
      </c>
      <c r="Z257" s="461">
        <v>46357</v>
      </c>
      <c r="AA257" s="461">
        <v>46357</v>
      </c>
      <c r="AB257" s="461">
        <v>46357</v>
      </c>
      <c r="AC257" s="461">
        <v>46357</v>
      </c>
      <c r="AD257" s="461">
        <v>46357</v>
      </c>
      <c r="AE257" s="461">
        <v>46357</v>
      </c>
      <c r="AF257" s="461">
        <v>46357</v>
      </c>
      <c r="AG257" s="461">
        <v>46357</v>
      </c>
      <c r="AH257" s="461">
        <v>46357</v>
      </c>
      <c r="AI257" s="461">
        <v>46357</v>
      </c>
      <c r="AJ257" s="461">
        <v>46357</v>
      </c>
      <c r="AK257" s="461">
        <v>46357</v>
      </c>
      <c r="AL257" s="461">
        <v>46357</v>
      </c>
      <c r="AM257" s="461">
        <v>46357</v>
      </c>
      <c r="AN257" s="461">
        <v>46357</v>
      </c>
      <c r="AO257" s="461">
        <v>46357</v>
      </c>
      <c r="AP257" s="461">
        <v>46357</v>
      </c>
      <c r="AQ257" s="461">
        <v>46357</v>
      </c>
      <c r="AR257" s="461">
        <v>46357</v>
      </c>
      <c r="AS257" s="461">
        <v>46357</v>
      </c>
      <c r="AT257" s="461">
        <v>46357</v>
      </c>
      <c r="AU257" s="461">
        <v>46357</v>
      </c>
      <c r="AV257" s="461">
        <v>46357</v>
      </c>
      <c r="AW257" s="461">
        <v>46357</v>
      </c>
      <c r="AX257" s="461">
        <v>46357</v>
      </c>
      <c r="AY257" s="461">
        <v>46357</v>
      </c>
      <c r="AZ257" s="461">
        <v>46357</v>
      </c>
      <c r="BB257" s="461">
        <v>46357</v>
      </c>
      <c r="BC257" s="461">
        <v>46357</v>
      </c>
      <c r="BD257" s="444"/>
      <c r="BF257" s="336"/>
    </row>
    <row r="258" spans="1:58" outlineLevel="1" x14ac:dyDescent="0.35">
      <c r="A258" s="456"/>
      <c r="B258" s="458"/>
      <c r="C258" s="459">
        <v>2026</v>
      </c>
      <c r="D258" s="462"/>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c r="AA258" s="463"/>
      <c r="AB258" s="463"/>
      <c r="AC258" s="463"/>
      <c r="AD258" s="463"/>
      <c r="AE258" s="463"/>
      <c r="AF258" s="463"/>
      <c r="AG258" s="463"/>
      <c r="AH258" s="463"/>
      <c r="AI258" s="463"/>
      <c r="AJ258" s="463"/>
      <c r="AK258" s="463"/>
      <c r="AL258" s="463"/>
      <c r="AM258" s="463"/>
      <c r="AN258" s="463"/>
      <c r="AO258" s="463"/>
      <c r="AP258" s="463"/>
      <c r="AQ258" s="463"/>
      <c r="AR258" s="463"/>
      <c r="AS258" s="463"/>
      <c r="AT258" s="463"/>
      <c r="AU258" s="463"/>
      <c r="AV258" s="463"/>
      <c r="AW258" s="463"/>
      <c r="AX258" s="463"/>
      <c r="AY258" s="463"/>
      <c r="AZ258" s="463"/>
      <c r="BB258" s="456"/>
      <c r="BC258" s="462"/>
      <c r="BD258" s="444"/>
      <c r="BF258" s="336"/>
    </row>
    <row r="259" spans="1:58" outlineLevel="1" x14ac:dyDescent="0.35">
      <c r="B259" s="464" t="s">
        <v>0</v>
      </c>
      <c r="C259" s="465" t="s">
        <v>921</v>
      </c>
      <c r="D259" s="476"/>
      <c r="E259" s="1279"/>
      <c r="AS259" s="1279"/>
      <c r="BB259" s="467"/>
      <c r="BC259" s="467"/>
      <c r="BD259" s="444"/>
      <c r="BF259" s="336"/>
    </row>
    <row r="260" spans="1:58" outlineLevel="1" x14ac:dyDescent="0.35">
      <c r="B260" s="464" t="s">
        <v>48</v>
      </c>
      <c r="C260" s="465" t="s">
        <v>921</v>
      </c>
      <c r="D260" s="467">
        <f>+BC199</f>
        <v>550773649.72602034</v>
      </c>
      <c r="E260" s="1305">
        <f>'Common Adj'!$M$37</f>
        <v>-486743</v>
      </c>
      <c r="F260" s="468"/>
      <c r="G260" s="468"/>
      <c r="H260" s="468"/>
      <c r="I260" s="468"/>
      <c r="J260" s="468"/>
      <c r="K260" s="468"/>
      <c r="L260" s="468"/>
      <c r="M260" s="468"/>
      <c r="N260" s="468"/>
      <c r="O260" s="468"/>
      <c r="P260" s="468"/>
      <c r="Q260" s="468"/>
      <c r="R260" s="468"/>
      <c r="S260" s="468"/>
      <c r="T260" s="468"/>
      <c r="U260" s="468"/>
      <c r="V260" s="468"/>
      <c r="W260" s="468"/>
      <c r="X260" s="468"/>
      <c r="Y260" s="468"/>
      <c r="Z260" s="468"/>
      <c r="AA260" s="468"/>
      <c r="AB260" s="468"/>
      <c r="AC260" s="468"/>
      <c r="AD260" s="468"/>
      <c r="AE260" s="468"/>
      <c r="AF260" s="468"/>
      <c r="AG260" s="468"/>
      <c r="AH260" s="468"/>
      <c r="AI260" s="468"/>
      <c r="AJ260" s="468"/>
      <c r="AK260" s="468"/>
      <c r="AL260" s="468"/>
      <c r="AM260" s="468"/>
      <c r="AN260" s="468"/>
      <c r="AO260" s="468"/>
      <c r="AP260" s="468"/>
      <c r="AQ260" s="468"/>
      <c r="AR260" s="468"/>
      <c r="AS260" s="1305"/>
      <c r="AT260" s="468"/>
      <c r="AU260" s="468"/>
      <c r="AV260" s="468"/>
      <c r="AW260" s="468"/>
      <c r="AX260" s="468"/>
      <c r="AY260" s="468"/>
      <c r="AZ260" s="468"/>
      <c r="BB260" s="467">
        <f>SUM(E260:AZ260)</f>
        <v>-486743</v>
      </c>
      <c r="BC260" s="467">
        <f>+BB260+D260</f>
        <v>550286906.72602034</v>
      </c>
      <c r="BD260" s="444"/>
      <c r="BE260" s="173"/>
      <c r="BF260" s="336"/>
    </row>
    <row r="261" spans="1:58" outlineLevel="1" x14ac:dyDescent="0.35">
      <c r="B261" s="464" t="s">
        <v>49</v>
      </c>
      <c r="C261" s="465" t="s">
        <v>921</v>
      </c>
      <c r="D261" s="470">
        <f>+BC200</f>
        <v>0</v>
      </c>
      <c r="E261" s="1306"/>
      <c r="F261" s="471"/>
      <c r="G261" s="471"/>
      <c r="H261" s="471"/>
      <c r="I261" s="471"/>
      <c r="J261" s="471"/>
      <c r="K261" s="471"/>
      <c r="L261" s="471"/>
      <c r="M261" s="471"/>
      <c r="N261" s="471"/>
      <c r="O261" s="471"/>
      <c r="P261" s="471"/>
      <c r="Q261" s="471"/>
      <c r="R261" s="471"/>
      <c r="S261" s="471"/>
      <c r="T261" s="471"/>
      <c r="U261" s="471"/>
      <c r="V261" s="471"/>
      <c r="W261" s="47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1306"/>
      <c r="AT261" s="471"/>
      <c r="AU261" s="471"/>
      <c r="AV261" s="471"/>
      <c r="AW261" s="471"/>
      <c r="AX261" s="471"/>
      <c r="AY261" s="471"/>
      <c r="AZ261" s="471"/>
      <c r="BB261" s="470">
        <f>SUM(E261:AZ261)</f>
        <v>0</v>
      </c>
      <c r="BC261" s="470">
        <f>+BB261+D261</f>
        <v>0</v>
      </c>
      <c r="BD261" s="444"/>
      <c r="BE261" s="173"/>
      <c r="BF261" s="336"/>
    </row>
    <row r="262" spans="1:58" outlineLevel="1" x14ac:dyDescent="0.35">
      <c r="B262" s="464" t="s">
        <v>50</v>
      </c>
      <c r="C262" s="465" t="s">
        <v>921</v>
      </c>
      <c r="D262" s="470">
        <f>+BC201</f>
        <v>0</v>
      </c>
      <c r="E262" s="1306"/>
      <c r="F262" s="471"/>
      <c r="G262" s="471"/>
      <c r="H262" s="471"/>
      <c r="I262" s="471"/>
      <c r="J262" s="471"/>
      <c r="K262" s="471"/>
      <c r="L262" s="471"/>
      <c r="M262" s="471"/>
      <c r="N262" s="471"/>
      <c r="O262" s="471"/>
      <c r="P262" s="471"/>
      <c r="Q262" s="471"/>
      <c r="R262" s="471"/>
      <c r="S262" s="471"/>
      <c r="T262" s="471"/>
      <c r="U262" s="471"/>
      <c r="V262" s="471"/>
      <c r="W262" s="47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1306"/>
      <c r="AT262" s="471"/>
      <c r="AU262" s="471"/>
      <c r="AV262" s="471"/>
      <c r="AW262" s="471"/>
      <c r="AX262" s="471"/>
      <c r="AY262" s="471"/>
      <c r="AZ262" s="471"/>
      <c r="BB262" s="470">
        <f>SUM(E262:AZ262)</f>
        <v>0</v>
      </c>
      <c r="BC262" s="470">
        <f>+BB262+D262</f>
        <v>0</v>
      </c>
      <c r="BD262" s="444"/>
      <c r="BE262" s="173"/>
      <c r="BF262" s="336"/>
    </row>
    <row r="263" spans="1:58" outlineLevel="1" x14ac:dyDescent="0.35">
      <c r="B263" s="464" t="s">
        <v>51</v>
      </c>
      <c r="C263" s="465" t="s">
        <v>921</v>
      </c>
      <c r="D263" s="470">
        <f>+BC202</f>
        <v>-604789.78244638466</v>
      </c>
      <c r="E263" s="1306"/>
      <c r="F263" s="471"/>
      <c r="G263" s="471"/>
      <c r="H263" s="471"/>
      <c r="I263" s="471"/>
      <c r="J263" s="471"/>
      <c r="K263" s="471"/>
      <c r="L263" s="471"/>
      <c r="M263" s="471"/>
      <c r="N263" s="471"/>
      <c r="O263" s="471"/>
      <c r="P263" s="471"/>
      <c r="Q263" s="471"/>
      <c r="R263" s="471"/>
      <c r="S263" s="471"/>
      <c r="T263" s="471"/>
      <c r="U263" s="471"/>
      <c r="V263" s="471"/>
      <c r="W263" s="471"/>
      <c r="X263" s="471"/>
      <c r="Y263" s="471"/>
      <c r="Z263" s="471"/>
      <c r="AA263" s="471"/>
      <c r="AB263" s="471"/>
      <c r="AC263" s="471"/>
      <c r="AD263" s="471"/>
      <c r="AE263" s="471"/>
      <c r="AF263" s="471"/>
      <c r="AG263" s="471"/>
      <c r="AH263" s="471"/>
      <c r="AI263" s="471"/>
      <c r="AJ263" s="471"/>
      <c r="AK263" s="471"/>
      <c r="AL263" s="471"/>
      <c r="AM263" s="471"/>
      <c r="AN263" s="471"/>
      <c r="AO263" s="471"/>
      <c r="AP263" s="471"/>
      <c r="AQ263" s="471">
        <f>-'Gas Adj'!CG33-'Gas Adj'!CG36</f>
        <v>2630462.4217455317</v>
      </c>
      <c r="AR263" s="471"/>
      <c r="AS263" s="1306"/>
      <c r="AT263" s="471"/>
      <c r="AU263" s="471"/>
      <c r="AV263" s="471"/>
      <c r="AW263" s="471"/>
      <c r="AX263" s="471"/>
      <c r="AY263" s="471"/>
      <c r="AZ263" s="471"/>
      <c r="BB263" s="470">
        <f>SUM(E263:AZ263)</f>
        <v>2630462.4217455317</v>
      </c>
      <c r="BC263" s="470">
        <f>+BB263+D263</f>
        <v>2025672.6392991471</v>
      </c>
      <c r="BD263" s="444"/>
      <c r="BE263" s="173"/>
      <c r="BF263" s="336"/>
    </row>
    <row r="264" spans="1:58" outlineLevel="1" x14ac:dyDescent="0.35">
      <c r="B264" s="464" t="s">
        <v>58</v>
      </c>
      <c r="C264" s="465" t="s">
        <v>921</v>
      </c>
      <c r="D264" s="473">
        <f>SUM(D260:D263)</f>
        <v>550168859.94357395</v>
      </c>
      <c r="E264" s="1307">
        <f t="shared" ref="E264" si="211">SUM(E260:E263)</f>
        <v>-486743</v>
      </c>
      <c r="F264" s="474">
        <f t="shared" ref="F264:AR264" si="212">SUM(F260:F263)</f>
        <v>0</v>
      </c>
      <c r="G264" s="474">
        <f t="shared" si="212"/>
        <v>0</v>
      </c>
      <c r="H264" s="474">
        <f t="shared" si="212"/>
        <v>0</v>
      </c>
      <c r="I264" s="474">
        <f t="shared" si="212"/>
        <v>0</v>
      </c>
      <c r="J264" s="474">
        <f t="shared" si="212"/>
        <v>0</v>
      </c>
      <c r="K264" s="474">
        <f t="shared" si="212"/>
        <v>0</v>
      </c>
      <c r="L264" s="474">
        <f t="shared" si="212"/>
        <v>0</v>
      </c>
      <c r="M264" s="474">
        <f t="shared" si="212"/>
        <v>0</v>
      </c>
      <c r="N264" s="474">
        <f t="shared" si="212"/>
        <v>0</v>
      </c>
      <c r="O264" s="474">
        <f t="shared" si="212"/>
        <v>0</v>
      </c>
      <c r="P264" s="474">
        <f t="shared" si="212"/>
        <v>0</v>
      </c>
      <c r="Q264" s="474">
        <f t="shared" si="212"/>
        <v>0</v>
      </c>
      <c r="R264" s="474">
        <f t="shared" si="212"/>
        <v>0</v>
      </c>
      <c r="S264" s="474">
        <f t="shared" si="212"/>
        <v>0</v>
      </c>
      <c r="T264" s="474">
        <f t="shared" si="212"/>
        <v>0</v>
      </c>
      <c r="U264" s="474">
        <f t="shared" si="212"/>
        <v>0</v>
      </c>
      <c r="V264" s="474">
        <f t="shared" si="212"/>
        <v>0</v>
      </c>
      <c r="W264" s="474">
        <f t="shared" si="212"/>
        <v>0</v>
      </c>
      <c r="X264" s="474">
        <f t="shared" si="212"/>
        <v>0</v>
      </c>
      <c r="Y264" s="474">
        <f t="shared" si="212"/>
        <v>0</v>
      </c>
      <c r="Z264" s="474">
        <f t="shared" si="212"/>
        <v>0</v>
      </c>
      <c r="AA264" s="474">
        <f t="shared" si="212"/>
        <v>0</v>
      </c>
      <c r="AB264" s="474">
        <f t="shared" si="212"/>
        <v>0</v>
      </c>
      <c r="AC264" s="474">
        <f t="shared" si="212"/>
        <v>0</v>
      </c>
      <c r="AD264" s="474">
        <f t="shared" ref="AD264" si="213">SUM(AD260:AD263)</f>
        <v>0</v>
      </c>
      <c r="AE264" s="474">
        <f t="shared" si="212"/>
        <v>0</v>
      </c>
      <c r="AF264" s="474">
        <f t="shared" si="212"/>
        <v>0</v>
      </c>
      <c r="AG264" s="474">
        <f t="shared" si="212"/>
        <v>0</v>
      </c>
      <c r="AH264" s="474">
        <f t="shared" ref="AH264:AJ264" si="214">SUM(AH260:AH263)</f>
        <v>0</v>
      </c>
      <c r="AI264" s="474">
        <f t="shared" si="214"/>
        <v>0</v>
      </c>
      <c r="AJ264" s="474">
        <f t="shared" si="214"/>
        <v>0</v>
      </c>
      <c r="AK264" s="474">
        <f t="shared" si="212"/>
        <v>0</v>
      </c>
      <c r="AL264" s="474">
        <f t="shared" si="212"/>
        <v>0</v>
      </c>
      <c r="AM264" s="474">
        <f t="shared" ref="AM264:AN264" si="215">SUM(AM260:AM263)</f>
        <v>0</v>
      </c>
      <c r="AN264" s="474">
        <f t="shared" si="215"/>
        <v>0</v>
      </c>
      <c r="AO264" s="474">
        <f t="shared" ref="AO264" si="216">SUM(AO260:AO263)</f>
        <v>0</v>
      </c>
      <c r="AP264" s="474">
        <f t="shared" si="212"/>
        <v>0</v>
      </c>
      <c r="AQ264" s="474">
        <f t="shared" si="212"/>
        <v>2630462.4217455317</v>
      </c>
      <c r="AR264" s="474">
        <f t="shared" si="212"/>
        <v>0</v>
      </c>
      <c r="AS264" s="1307">
        <f t="shared" ref="AS264" si="217">SUM(AS260:AS263)</f>
        <v>0</v>
      </c>
      <c r="AT264" s="474"/>
      <c r="AU264" s="474"/>
      <c r="AV264" s="474"/>
      <c r="AW264" s="474"/>
      <c r="AX264" s="474"/>
      <c r="AY264" s="474"/>
      <c r="AZ264" s="474"/>
      <c r="BB264" s="473">
        <f>SUM(BB260:BB263)</f>
        <v>2143719.4217455317</v>
      </c>
      <c r="BC264" s="473">
        <f>SUM(BC260:BC263)</f>
        <v>552312579.36531949</v>
      </c>
      <c r="BD264" s="444"/>
      <c r="BE264" s="173"/>
      <c r="BF264" s="336"/>
    </row>
    <row r="265" spans="1:58" outlineLevel="1" x14ac:dyDescent="0.35">
      <c r="B265" s="475"/>
      <c r="C265" s="465" t="s">
        <v>921</v>
      </c>
      <c r="D265" s="470"/>
      <c r="E265" s="1306"/>
      <c r="F265" s="471"/>
      <c r="G265" s="471"/>
      <c r="H265" s="471"/>
      <c r="I265" s="471"/>
      <c r="J265" s="471"/>
      <c r="K265" s="471"/>
      <c r="L265" s="471"/>
      <c r="M265" s="471"/>
      <c r="N265" s="471"/>
      <c r="O265" s="471"/>
      <c r="P265" s="471"/>
      <c r="Q265" s="471"/>
      <c r="R265" s="471"/>
      <c r="S265" s="471"/>
      <c r="T265" s="471"/>
      <c r="U265" s="471"/>
      <c r="V265" s="471"/>
      <c r="W265" s="47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1306"/>
      <c r="AT265" s="471"/>
      <c r="AU265" s="471"/>
      <c r="AV265" s="471"/>
      <c r="AW265" s="471"/>
      <c r="AX265" s="471"/>
      <c r="AY265" s="471"/>
      <c r="AZ265" s="471"/>
      <c r="BB265" s="470"/>
      <c r="BC265" s="470"/>
      <c r="BD265" s="444"/>
      <c r="BE265" s="173"/>
      <c r="BF265" s="336"/>
    </row>
    <row r="266" spans="1:58" outlineLevel="1" x14ac:dyDescent="0.35">
      <c r="B266" s="464" t="s">
        <v>52</v>
      </c>
      <c r="C266" s="465" t="s">
        <v>921</v>
      </c>
      <c r="D266" s="466"/>
      <c r="E266" s="1308"/>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341"/>
      <c r="AC266" s="341"/>
      <c r="AD266" s="341"/>
      <c r="AE266" s="341"/>
      <c r="AF266" s="341"/>
      <c r="AG266" s="341"/>
      <c r="AH266" s="341"/>
      <c r="AI266" s="341"/>
      <c r="AJ266" s="341"/>
      <c r="AK266" s="341"/>
      <c r="AL266" s="341"/>
      <c r="AM266" s="341"/>
      <c r="AN266" s="341"/>
      <c r="AO266" s="341"/>
      <c r="AP266" s="341"/>
      <c r="AQ266" s="341"/>
      <c r="AR266" s="341"/>
      <c r="AS266" s="1308"/>
      <c r="AT266" s="341"/>
      <c r="AU266" s="341"/>
      <c r="AV266" s="341"/>
      <c r="AW266" s="341"/>
      <c r="AX266" s="341"/>
      <c r="AY266" s="341"/>
      <c r="AZ266" s="341"/>
      <c r="BB266" s="466"/>
      <c r="BC266" s="466"/>
      <c r="BD266" s="444"/>
      <c r="BE266" s="173"/>
      <c r="BF266" s="336"/>
    </row>
    <row r="267" spans="1:58" outlineLevel="1" x14ac:dyDescent="0.35">
      <c r="C267" s="465" t="s">
        <v>921</v>
      </c>
      <c r="D267" s="466"/>
      <c r="E267" s="1308"/>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c r="AF267" s="341"/>
      <c r="AG267" s="341"/>
      <c r="AH267" s="341"/>
      <c r="AI267" s="341"/>
      <c r="AJ267" s="341"/>
      <c r="AK267" s="341"/>
      <c r="AL267" s="341"/>
      <c r="AM267" s="341"/>
      <c r="AN267" s="341"/>
      <c r="AO267" s="341"/>
      <c r="AP267" s="341"/>
      <c r="AQ267" s="341"/>
      <c r="AR267" s="341"/>
      <c r="AS267" s="1308"/>
      <c r="AT267" s="341"/>
      <c r="AU267" s="341"/>
      <c r="AV267" s="341"/>
      <c r="AW267" s="341"/>
      <c r="AX267" s="341"/>
      <c r="AY267" s="341"/>
      <c r="AZ267" s="341"/>
      <c r="BB267" s="466"/>
      <c r="BC267" s="466"/>
      <c r="BD267" s="444"/>
      <c r="BE267" s="173"/>
      <c r="BF267" s="336"/>
    </row>
    <row r="268" spans="1:58" outlineLevel="1" x14ac:dyDescent="0.35">
      <c r="B268" s="464" t="s">
        <v>53</v>
      </c>
      <c r="C268" s="465" t="s">
        <v>921</v>
      </c>
      <c r="D268" s="466"/>
      <c r="E268" s="1308"/>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E268" s="341"/>
      <c r="AF268" s="341"/>
      <c r="AG268" s="341"/>
      <c r="AH268" s="341"/>
      <c r="AI268" s="341"/>
      <c r="AJ268" s="341"/>
      <c r="AK268" s="341"/>
      <c r="AL268" s="341"/>
      <c r="AM268" s="341"/>
      <c r="AN268" s="341"/>
      <c r="AO268" s="341"/>
      <c r="AP268" s="341"/>
      <c r="AQ268" s="341"/>
      <c r="AR268" s="341"/>
      <c r="AS268" s="1308"/>
      <c r="AT268" s="833">
        <f>+'Detailed Summary'!GO21</f>
        <v>0</v>
      </c>
      <c r="AU268" s="833">
        <f>+'Detailed Summary'!GP21</f>
        <v>0</v>
      </c>
      <c r="AV268" s="833">
        <f>+'Detailed Summary'!GQ21</f>
        <v>0</v>
      </c>
      <c r="AW268" s="833">
        <f>+'Detailed Summary'!GR21</f>
        <v>0</v>
      </c>
      <c r="AX268" s="833">
        <f>+'Detailed Summary'!GS21</f>
        <v>0</v>
      </c>
      <c r="AY268" s="833">
        <f>+'Detailed Summary'!GT21</f>
        <v>0</v>
      </c>
      <c r="AZ268" s="833">
        <f>+'Detailed Summary'!GU21</f>
        <v>0</v>
      </c>
      <c r="BB268" s="466"/>
      <c r="BC268" s="466"/>
      <c r="BD268" s="444"/>
      <c r="BE268" s="173"/>
      <c r="BF268" s="336"/>
    </row>
    <row r="269" spans="1:58" outlineLevel="1" x14ac:dyDescent="0.35">
      <c r="B269" s="464" t="s">
        <v>54</v>
      </c>
      <c r="C269" s="465" t="s">
        <v>921</v>
      </c>
      <c r="D269" s="476">
        <f>+BC208</f>
        <v>0</v>
      </c>
      <c r="E269" s="1309"/>
      <c r="F269" s="420"/>
      <c r="G269" s="420"/>
      <c r="H269" s="420"/>
      <c r="I269" s="420"/>
      <c r="J269" s="420"/>
      <c r="K269" s="420"/>
      <c r="L269" s="420"/>
      <c r="M269" s="420"/>
      <c r="N269" s="420"/>
      <c r="O269" s="420"/>
      <c r="P269" s="420"/>
      <c r="Q269" s="420"/>
      <c r="R269" s="420"/>
      <c r="S269" s="420"/>
      <c r="T269" s="420"/>
      <c r="U269" s="420"/>
      <c r="V269" s="420"/>
      <c r="W269" s="420"/>
      <c r="X269" s="420"/>
      <c r="Y269" s="420"/>
      <c r="Z269" s="420"/>
      <c r="AA269" s="420"/>
      <c r="AB269" s="420"/>
      <c r="AC269" s="420"/>
      <c r="AD269" s="420"/>
      <c r="AE269" s="420"/>
      <c r="AF269" s="420"/>
      <c r="AG269" s="420"/>
      <c r="AH269" s="420"/>
      <c r="AI269" s="420"/>
      <c r="AJ269" s="420"/>
      <c r="AK269" s="420"/>
      <c r="AL269" s="420"/>
      <c r="AM269" s="420"/>
      <c r="AN269" s="420"/>
      <c r="AO269" s="420"/>
      <c r="AP269" s="420"/>
      <c r="AQ269" s="420"/>
      <c r="AR269" s="420"/>
      <c r="AS269" s="1309"/>
      <c r="AT269" s="420">
        <f>+'Detailed Summary'!GO22</f>
        <v>0</v>
      </c>
      <c r="AU269" s="420">
        <f>+'Detailed Summary'!GP22</f>
        <v>0</v>
      </c>
      <c r="AV269" s="420">
        <f>+'Detailed Summary'!GQ22</f>
        <v>0</v>
      </c>
      <c r="AW269" s="420">
        <f>+'Detailed Summary'!GR22</f>
        <v>0</v>
      </c>
      <c r="AX269" s="420">
        <f>+'Detailed Summary'!GS22</f>
        <v>0</v>
      </c>
      <c r="AY269" s="420">
        <f>+'Detailed Summary'!GT22</f>
        <v>0</v>
      </c>
      <c r="AZ269" s="420">
        <f>+'Detailed Summary'!GU22</f>
        <v>0</v>
      </c>
      <c r="BB269" s="476">
        <f>SUM(E269:AZ269)</f>
        <v>0</v>
      </c>
      <c r="BC269" s="476">
        <f>+BB269+D269</f>
        <v>0</v>
      </c>
      <c r="BD269" s="444"/>
      <c r="BE269" s="173"/>
      <c r="BF269" s="336"/>
    </row>
    <row r="270" spans="1:58" outlineLevel="1" x14ac:dyDescent="0.35">
      <c r="B270" s="464" t="s">
        <v>55</v>
      </c>
      <c r="C270" s="465" t="s">
        <v>921</v>
      </c>
      <c r="D270" s="470">
        <f>+BC209</f>
        <v>0</v>
      </c>
      <c r="E270" s="1306"/>
      <c r="F270" s="471"/>
      <c r="G270" s="471"/>
      <c r="H270" s="471"/>
      <c r="I270" s="471"/>
      <c r="J270" s="471"/>
      <c r="K270" s="471"/>
      <c r="L270" s="471"/>
      <c r="M270" s="471"/>
      <c r="N270" s="471"/>
      <c r="O270" s="471"/>
      <c r="P270" s="471"/>
      <c r="Q270" s="471"/>
      <c r="R270" s="471"/>
      <c r="S270" s="471"/>
      <c r="T270" s="471"/>
      <c r="U270" s="471"/>
      <c r="V270" s="471"/>
      <c r="W270" s="471"/>
      <c r="X270" s="471"/>
      <c r="Y270" s="471"/>
      <c r="Z270" s="471"/>
      <c r="AA270" s="471"/>
      <c r="AB270" s="471"/>
      <c r="AC270" s="471"/>
      <c r="AD270" s="471"/>
      <c r="AE270" s="471"/>
      <c r="AF270" s="471"/>
      <c r="AG270" s="471"/>
      <c r="AH270" s="471"/>
      <c r="AI270" s="471"/>
      <c r="AJ270" s="471"/>
      <c r="AK270" s="471"/>
      <c r="AL270" s="471"/>
      <c r="AM270" s="471"/>
      <c r="AN270" s="471"/>
      <c r="AO270" s="471"/>
      <c r="AP270" s="471"/>
      <c r="AQ270" s="471"/>
      <c r="AR270" s="471"/>
      <c r="AS270" s="1306"/>
      <c r="AT270" s="471">
        <f>+'Detailed Summary'!GO23</f>
        <v>0</v>
      </c>
      <c r="AU270" s="471">
        <f>+'Detailed Summary'!GP23</f>
        <v>0</v>
      </c>
      <c r="AV270" s="471">
        <f>+'Detailed Summary'!GQ23</f>
        <v>0</v>
      </c>
      <c r="AW270" s="471">
        <f>+'Detailed Summary'!GR23</f>
        <v>0</v>
      </c>
      <c r="AX270" s="471">
        <f>+'Detailed Summary'!GS23</f>
        <v>0</v>
      </c>
      <c r="AY270" s="471">
        <f>+'Detailed Summary'!GT23</f>
        <v>0</v>
      </c>
      <c r="AZ270" s="471">
        <f>+'Detailed Summary'!GU23</f>
        <v>0</v>
      </c>
      <c r="BB270" s="470">
        <f>SUM(E270:AZ270)</f>
        <v>0</v>
      </c>
      <c r="BC270" s="470">
        <f>+BB270+D270</f>
        <v>0</v>
      </c>
      <c r="BD270" s="444"/>
      <c r="BE270" s="173"/>
      <c r="BF270" s="336"/>
    </row>
    <row r="271" spans="1:58" outlineLevel="1" x14ac:dyDescent="0.35">
      <c r="B271" s="464" t="s">
        <v>56</v>
      </c>
      <c r="C271" s="465" t="s">
        <v>921</v>
      </c>
      <c r="D271" s="470">
        <f>+BC210</f>
        <v>0</v>
      </c>
      <c r="E271" s="1306"/>
      <c r="F271" s="471"/>
      <c r="G271" s="471"/>
      <c r="H271" s="471"/>
      <c r="I271" s="471"/>
      <c r="J271" s="471"/>
      <c r="K271" s="471"/>
      <c r="L271" s="471"/>
      <c r="M271" s="471"/>
      <c r="N271" s="471"/>
      <c r="O271" s="471"/>
      <c r="P271" s="471"/>
      <c r="Q271" s="471"/>
      <c r="R271" s="471"/>
      <c r="S271" s="471"/>
      <c r="T271" s="471"/>
      <c r="U271" s="471"/>
      <c r="V271" s="471"/>
      <c r="W271" s="471"/>
      <c r="X271" s="471"/>
      <c r="Y271" s="471"/>
      <c r="Z271" s="471"/>
      <c r="AA271" s="471"/>
      <c r="AB271" s="471"/>
      <c r="AC271" s="471"/>
      <c r="AD271" s="471"/>
      <c r="AE271" s="471"/>
      <c r="AF271" s="471"/>
      <c r="AG271" s="471"/>
      <c r="AH271" s="471"/>
      <c r="AI271" s="471"/>
      <c r="AJ271" s="471"/>
      <c r="AK271" s="471"/>
      <c r="AL271" s="471"/>
      <c r="AM271" s="471"/>
      <c r="AN271" s="471"/>
      <c r="AO271" s="471"/>
      <c r="AP271" s="471"/>
      <c r="AQ271" s="471"/>
      <c r="AR271" s="471"/>
      <c r="AS271" s="1306"/>
      <c r="AT271" s="471">
        <f>+'Detailed Summary'!GO24</f>
        <v>0</v>
      </c>
      <c r="AU271" s="471">
        <f>+'Detailed Summary'!GP24</f>
        <v>0</v>
      </c>
      <c r="AV271" s="471">
        <f>+'Detailed Summary'!GQ24</f>
        <v>0</v>
      </c>
      <c r="AW271" s="471">
        <f>+'Detailed Summary'!GR24</f>
        <v>0</v>
      </c>
      <c r="AX271" s="471">
        <f>+'Detailed Summary'!GS24</f>
        <v>0</v>
      </c>
      <c r="AY271" s="471">
        <f>+'Detailed Summary'!GT24</f>
        <v>0</v>
      </c>
      <c r="AZ271" s="471">
        <f>+'Detailed Summary'!GU24</f>
        <v>0</v>
      </c>
      <c r="BB271" s="470">
        <f>SUM(E271:AZ271)</f>
        <v>0</v>
      </c>
      <c r="BC271" s="470">
        <f>+BB271+D271</f>
        <v>0</v>
      </c>
      <c r="BD271" s="444"/>
      <c r="BE271" s="173"/>
      <c r="BF271" s="336"/>
    </row>
    <row r="272" spans="1:58" outlineLevel="1" x14ac:dyDescent="0.35">
      <c r="B272" s="329" t="s">
        <v>57</v>
      </c>
      <c r="C272" s="465" t="s">
        <v>921</v>
      </c>
      <c r="D272" s="470">
        <f>+BC211</f>
        <v>0</v>
      </c>
      <c r="E272" s="1306"/>
      <c r="F272" s="471"/>
      <c r="G272" s="471"/>
      <c r="H272" s="471"/>
      <c r="I272" s="471"/>
      <c r="J272" s="471"/>
      <c r="K272" s="471"/>
      <c r="L272" s="471"/>
      <c r="M272" s="471"/>
      <c r="N272" s="471"/>
      <c r="O272" s="471"/>
      <c r="P272" s="471"/>
      <c r="Q272" s="471"/>
      <c r="R272" s="471"/>
      <c r="S272" s="471"/>
      <c r="T272" s="471"/>
      <c r="U272" s="471"/>
      <c r="V272" s="471"/>
      <c r="W272" s="47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1306"/>
      <c r="AT272" s="471">
        <f>+'Detailed Summary'!GO25</f>
        <v>0</v>
      </c>
      <c r="AU272" s="471">
        <f>+'Detailed Summary'!GP25</f>
        <v>0</v>
      </c>
      <c r="AV272" s="471">
        <f>+'Detailed Summary'!GQ25</f>
        <v>0</v>
      </c>
      <c r="AW272" s="471">
        <f>+'Detailed Summary'!GR25</f>
        <v>0</v>
      </c>
      <c r="AX272" s="471">
        <f>+'Detailed Summary'!GS25</f>
        <v>0</v>
      </c>
      <c r="AY272" s="471">
        <f>+'Detailed Summary'!GT25</f>
        <v>0</v>
      </c>
      <c r="AZ272" s="471">
        <f>+'Detailed Summary'!GU25</f>
        <v>0</v>
      </c>
      <c r="BB272" s="470">
        <f>SUM(E272:AZ272)</f>
        <v>0</v>
      </c>
      <c r="BC272" s="470">
        <f>+BB272+D272</f>
        <v>0</v>
      </c>
      <c r="BD272" s="444"/>
      <c r="BE272" s="173"/>
      <c r="BF272" s="336"/>
    </row>
    <row r="273" spans="2:58" outlineLevel="1" x14ac:dyDescent="0.35">
      <c r="B273" s="464" t="s">
        <v>1</v>
      </c>
      <c r="C273" s="465" t="s">
        <v>921</v>
      </c>
      <c r="D273" s="477">
        <f>SUM(D268:D272)</f>
        <v>0</v>
      </c>
      <c r="E273" s="1310">
        <f t="shared" ref="E273" si="218">SUM(E268:E272)</f>
        <v>0</v>
      </c>
      <c r="F273" s="478">
        <f t="shared" ref="F273:AR273" si="219">SUM(F268:F272)</f>
        <v>0</v>
      </c>
      <c r="G273" s="478">
        <f t="shared" si="219"/>
        <v>0</v>
      </c>
      <c r="H273" s="478">
        <f t="shared" si="219"/>
        <v>0</v>
      </c>
      <c r="I273" s="478">
        <f t="shared" si="219"/>
        <v>0</v>
      </c>
      <c r="J273" s="478">
        <f t="shared" si="219"/>
        <v>0</v>
      </c>
      <c r="K273" s="478">
        <f t="shared" si="219"/>
        <v>0</v>
      </c>
      <c r="L273" s="478">
        <f t="shared" si="219"/>
        <v>0</v>
      </c>
      <c r="M273" s="478">
        <f t="shared" si="219"/>
        <v>0</v>
      </c>
      <c r="N273" s="478">
        <f t="shared" si="219"/>
        <v>0</v>
      </c>
      <c r="O273" s="478">
        <f t="shared" si="219"/>
        <v>0</v>
      </c>
      <c r="P273" s="478">
        <f t="shared" si="219"/>
        <v>0</v>
      </c>
      <c r="Q273" s="478">
        <f t="shared" si="219"/>
        <v>0</v>
      </c>
      <c r="R273" s="478">
        <f t="shared" si="219"/>
        <v>0</v>
      </c>
      <c r="S273" s="478">
        <f t="shared" si="219"/>
        <v>0</v>
      </c>
      <c r="T273" s="478">
        <f t="shared" si="219"/>
        <v>0</v>
      </c>
      <c r="U273" s="478">
        <f t="shared" si="219"/>
        <v>0</v>
      </c>
      <c r="V273" s="478">
        <f t="shared" si="219"/>
        <v>0</v>
      </c>
      <c r="W273" s="478">
        <f t="shared" si="219"/>
        <v>0</v>
      </c>
      <c r="X273" s="478">
        <f t="shared" si="219"/>
        <v>0</v>
      </c>
      <c r="Y273" s="478">
        <f t="shared" si="219"/>
        <v>0</v>
      </c>
      <c r="Z273" s="478">
        <f t="shared" si="219"/>
        <v>0</v>
      </c>
      <c r="AA273" s="478">
        <f t="shared" si="219"/>
        <v>0</v>
      </c>
      <c r="AB273" s="478">
        <f t="shared" si="219"/>
        <v>0</v>
      </c>
      <c r="AC273" s="478">
        <f t="shared" si="219"/>
        <v>0</v>
      </c>
      <c r="AD273" s="478">
        <f t="shared" ref="AD273" si="220">SUM(AD268:AD272)</f>
        <v>0</v>
      </c>
      <c r="AE273" s="478">
        <f t="shared" si="219"/>
        <v>0</v>
      </c>
      <c r="AF273" s="478">
        <f t="shared" si="219"/>
        <v>0</v>
      </c>
      <c r="AG273" s="478">
        <f t="shared" si="219"/>
        <v>0</v>
      </c>
      <c r="AH273" s="478">
        <f t="shared" ref="AH273:AJ273" si="221">SUM(AH268:AH272)</f>
        <v>0</v>
      </c>
      <c r="AI273" s="478">
        <f t="shared" si="221"/>
        <v>0</v>
      </c>
      <c r="AJ273" s="478">
        <f t="shared" si="221"/>
        <v>0</v>
      </c>
      <c r="AK273" s="478">
        <f t="shared" si="219"/>
        <v>0</v>
      </c>
      <c r="AL273" s="478">
        <f t="shared" si="219"/>
        <v>0</v>
      </c>
      <c r="AM273" s="479">
        <f t="shared" ref="AM273:AN273" si="222">SUM(AM268:AM272)</f>
        <v>0</v>
      </c>
      <c r="AN273" s="479">
        <f t="shared" si="222"/>
        <v>0</v>
      </c>
      <c r="AO273" s="479">
        <f t="shared" ref="AO273" si="223">SUM(AO268:AO272)</f>
        <v>0</v>
      </c>
      <c r="AP273" s="478">
        <f t="shared" si="219"/>
        <v>0</v>
      </c>
      <c r="AQ273" s="478">
        <f t="shared" si="219"/>
        <v>0</v>
      </c>
      <c r="AR273" s="478">
        <f t="shared" si="219"/>
        <v>0</v>
      </c>
      <c r="AS273" s="1310">
        <f t="shared" ref="AS273" si="224">SUM(AS268:AS272)</f>
        <v>0</v>
      </c>
      <c r="AT273" s="478"/>
      <c r="AU273" s="478"/>
      <c r="AV273" s="478"/>
      <c r="AW273" s="478"/>
      <c r="AX273" s="478"/>
      <c r="AY273" s="478"/>
      <c r="AZ273" s="478"/>
      <c r="BB273" s="477">
        <f>SUM(BB268:BB272)</f>
        <v>0</v>
      </c>
      <c r="BC273" s="477">
        <f>SUM(BC268:BC272)</f>
        <v>0</v>
      </c>
      <c r="BD273" s="444"/>
      <c r="BE273" s="173"/>
      <c r="BF273" s="336"/>
    </row>
    <row r="274" spans="2:58" outlineLevel="1" x14ac:dyDescent="0.35">
      <c r="B274" s="464"/>
      <c r="C274" s="465" t="s">
        <v>921</v>
      </c>
      <c r="D274" s="476"/>
      <c r="E274" s="1309"/>
      <c r="F274" s="420"/>
      <c r="G274" s="420"/>
      <c r="H274" s="420"/>
      <c r="I274" s="420"/>
      <c r="J274" s="420"/>
      <c r="K274" s="420"/>
      <c r="L274" s="420"/>
      <c r="M274" s="420"/>
      <c r="N274" s="420"/>
      <c r="O274" s="420"/>
      <c r="P274" s="420"/>
      <c r="Q274" s="420"/>
      <c r="R274" s="420"/>
      <c r="S274" s="420"/>
      <c r="T274" s="420"/>
      <c r="U274" s="420"/>
      <c r="V274" s="420"/>
      <c r="W274" s="420"/>
      <c r="X274" s="420"/>
      <c r="Y274" s="420"/>
      <c r="Z274" s="420"/>
      <c r="AA274" s="420"/>
      <c r="AB274" s="420"/>
      <c r="AC274" s="420"/>
      <c r="AD274" s="420"/>
      <c r="AE274" s="420"/>
      <c r="AF274" s="420"/>
      <c r="AG274" s="420"/>
      <c r="AH274" s="420"/>
      <c r="AI274" s="420"/>
      <c r="AJ274" s="420"/>
      <c r="AK274" s="420"/>
      <c r="AL274" s="420"/>
      <c r="AM274" s="173"/>
      <c r="AN274" s="420"/>
      <c r="AO274" s="420"/>
      <c r="AP274" s="420"/>
      <c r="AQ274" s="420"/>
      <c r="AR274" s="420"/>
      <c r="AS274" s="1309"/>
      <c r="AT274" s="420"/>
      <c r="AU274" s="420"/>
      <c r="AV274" s="420"/>
      <c r="AW274" s="420"/>
      <c r="AX274" s="420"/>
      <c r="AY274" s="420"/>
      <c r="AZ274" s="420"/>
      <c r="BB274" s="476"/>
      <c r="BC274" s="476"/>
      <c r="BD274" s="444"/>
      <c r="BE274" s="173"/>
      <c r="BF274" s="336"/>
    </row>
    <row r="275" spans="2:58" outlineLevel="1" x14ac:dyDescent="0.35">
      <c r="B275" s="480" t="s">
        <v>59</v>
      </c>
      <c r="C275" s="465" t="s">
        <v>921</v>
      </c>
      <c r="D275" s="470">
        <f t="shared" ref="D275:D288" si="225">+BC214</f>
        <v>8236810.4740378801</v>
      </c>
      <c r="E275" s="1309"/>
      <c r="F275" s="420"/>
      <c r="G275" s="420"/>
      <c r="H275" s="420"/>
      <c r="I275" s="420"/>
      <c r="J275" s="420"/>
      <c r="K275" s="420"/>
      <c r="L275" s="420"/>
      <c r="M275" s="420"/>
      <c r="N275" s="420"/>
      <c r="O275" s="420">
        <f>'Common Adj'!GK18+'Common Adj'!GK17+'Common Adj'!GK19</f>
        <v>141.28733078821278</v>
      </c>
      <c r="P275" s="420"/>
      <c r="Q275" s="420"/>
      <c r="R275" s="420"/>
      <c r="S275" s="420"/>
      <c r="T275" s="420"/>
      <c r="U275" s="420"/>
      <c r="V275" s="420"/>
      <c r="W275" s="420"/>
      <c r="X275" s="420"/>
      <c r="Y275" s="420"/>
      <c r="Z275" s="518">
        <f>'Common Adj'!OA$16</f>
        <v>720957.01860331092</v>
      </c>
      <c r="AA275" s="420"/>
      <c r="AB275" s="420"/>
      <c r="AC275" s="420"/>
      <c r="AD275" s="420"/>
      <c r="AE275" s="420"/>
      <c r="AF275" s="420"/>
      <c r="AG275" s="420"/>
      <c r="AH275" s="420"/>
      <c r="AI275" s="420"/>
      <c r="AJ275" s="420"/>
      <c r="AK275" s="420"/>
      <c r="AL275" s="420"/>
      <c r="AM275" s="471"/>
      <c r="AN275" s="420"/>
      <c r="AO275" s="420"/>
      <c r="AP275" s="420"/>
      <c r="AQ275" s="420"/>
      <c r="AR275" s="420"/>
      <c r="AS275" s="1309"/>
      <c r="AT275" s="420"/>
      <c r="AU275" s="420"/>
      <c r="AV275" s="420"/>
      <c r="AW275" s="420"/>
      <c r="AX275" s="420"/>
      <c r="AY275" s="420"/>
      <c r="AZ275" s="420"/>
      <c r="BB275" s="470">
        <f t="shared" ref="BB275:BB288" si="226">SUM(E275:AZ275)</f>
        <v>721098.30593409913</v>
      </c>
      <c r="BC275" s="476">
        <f t="shared" ref="BC275:BC288" si="227">+BB275+D275</f>
        <v>8957908.7799719796</v>
      </c>
      <c r="BD275" s="444"/>
      <c r="BE275" s="173"/>
      <c r="BF275" s="336"/>
    </row>
    <row r="276" spans="2:58" outlineLevel="1" x14ac:dyDescent="0.35">
      <c r="B276" s="464" t="s">
        <v>60</v>
      </c>
      <c r="C276" s="465" t="s">
        <v>921</v>
      </c>
      <c r="D276" s="470">
        <f t="shared" si="225"/>
        <v>0</v>
      </c>
      <c r="E276" s="1306"/>
      <c r="F276" s="471"/>
      <c r="G276" s="471"/>
      <c r="H276" s="471"/>
      <c r="I276" s="471"/>
      <c r="J276" s="471"/>
      <c r="K276" s="471"/>
      <c r="L276" s="471"/>
      <c r="M276" s="471"/>
      <c r="N276" s="471"/>
      <c r="O276" s="471">
        <f>+'Common Adj'!GK20</f>
        <v>0</v>
      </c>
      <c r="P276" s="471"/>
      <c r="Q276" s="471"/>
      <c r="R276" s="471"/>
      <c r="S276" s="471"/>
      <c r="T276" s="471"/>
      <c r="U276" s="471"/>
      <c r="V276" s="471"/>
      <c r="W276" s="471"/>
      <c r="X276" s="471"/>
      <c r="Y276" s="471"/>
      <c r="Z276" s="518">
        <f>'Common Adj'!OA$17</f>
        <v>0</v>
      </c>
      <c r="AA276" s="471"/>
      <c r="AB276" s="471"/>
      <c r="AC276" s="471"/>
      <c r="AD276" s="471"/>
      <c r="AE276" s="471"/>
      <c r="AF276" s="471"/>
      <c r="AG276" s="471"/>
      <c r="AH276" s="471"/>
      <c r="AI276" s="471"/>
      <c r="AJ276" s="471"/>
      <c r="AK276" s="471"/>
      <c r="AL276" s="471"/>
      <c r="AM276" s="471"/>
      <c r="AN276" s="471"/>
      <c r="AO276" s="471"/>
      <c r="AP276" s="471"/>
      <c r="AQ276" s="471"/>
      <c r="AR276" s="471"/>
      <c r="AS276" s="1306"/>
      <c r="AT276" s="471"/>
      <c r="AU276" s="471"/>
      <c r="AV276" s="471"/>
      <c r="AW276" s="471"/>
      <c r="AX276" s="471"/>
      <c r="AY276" s="471"/>
      <c r="AZ276" s="471"/>
      <c r="BB276" s="470">
        <f t="shared" si="226"/>
        <v>0</v>
      </c>
      <c r="BC276" s="470">
        <f t="shared" si="227"/>
        <v>0</v>
      </c>
      <c r="BD276" s="444"/>
      <c r="BE276" s="173"/>
      <c r="BF276" s="336"/>
    </row>
    <row r="277" spans="2:58" outlineLevel="1" x14ac:dyDescent="0.35">
      <c r="B277" s="464" t="s">
        <v>61</v>
      </c>
      <c r="C277" s="465" t="s">
        <v>921</v>
      </c>
      <c r="D277" s="470">
        <f t="shared" si="225"/>
        <v>88682038.861851916</v>
      </c>
      <c r="E277" s="1306"/>
      <c r="F277" s="471"/>
      <c r="G277" s="471"/>
      <c r="H277" s="471"/>
      <c r="I277" s="471"/>
      <c r="J277" s="471"/>
      <c r="K277" s="471"/>
      <c r="L277" s="471"/>
      <c r="M277" s="471"/>
      <c r="N277" s="471"/>
      <c r="O277" s="471">
        <f>+'Common Adj'!GK21</f>
        <v>844.07238474977203</v>
      </c>
      <c r="P277" s="471"/>
      <c r="Q277" s="471"/>
      <c r="R277" s="471"/>
      <c r="S277" s="471"/>
      <c r="T277" s="471"/>
      <c r="U277" s="471"/>
      <c r="V277" s="471"/>
      <c r="W277" s="471"/>
      <c r="X277" s="471"/>
      <c r="Y277" s="471"/>
      <c r="Z277" s="518">
        <f>'Common Adj'!OA$18</f>
        <v>-1042502.3166014254</v>
      </c>
      <c r="AA277" s="471"/>
      <c r="AB277" s="471"/>
      <c r="AC277" s="471"/>
      <c r="AD277" s="471"/>
      <c r="AE277" s="471"/>
      <c r="AF277" s="471"/>
      <c r="AG277" s="471"/>
      <c r="AH277" s="471"/>
      <c r="AI277" s="471"/>
      <c r="AJ277" s="471"/>
      <c r="AK277" s="471"/>
      <c r="AL277" s="471"/>
      <c r="AM277" s="471"/>
      <c r="AN277" s="471"/>
      <c r="AO277" s="471"/>
      <c r="AP277" s="471"/>
      <c r="AQ277" s="471"/>
      <c r="AR277" s="471"/>
      <c r="AS277" s="1306"/>
      <c r="AT277" s="471"/>
      <c r="AU277" s="471"/>
      <c r="AV277" s="471"/>
      <c r="AW277" s="471"/>
      <c r="AX277" s="471"/>
      <c r="AY277" s="471"/>
      <c r="AZ277" s="471"/>
      <c r="BB277" s="470">
        <f t="shared" si="226"/>
        <v>-1041658.2442166756</v>
      </c>
      <c r="BC277" s="470">
        <f t="shared" si="227"/>
        <v>87640380.617635235</v>
      </c>
      <c r="BD277" s="444"/>
      <c r="BE277" s="173"/>
      <c r="BF277" s="336"/>
    </row>
    <row r="278" spans="2:58" outlineLevel="1" x14ac:dyDescent="0.35">
      <c r="B278" s="464" t="s">
        <v>62</v>
      </c>
      <c r="C278" s="465" t="s">
        <v>921</v>
      </c>
      <c r="D278" s="470">
        <f t="shared" si="225"/>
        <v>16327197.647432098</v>
      </c>
      <c r="E278" s="1306">
        <f>'Common Adj'!$M$64</f>
        <v>-1407.1740130000001</v>
      </c>
      <c r="F278" s="471"/>
      <c r="G278" s="471"/>
      <c r="H278" s="471"/>
      <c r="I278" s="471"/>
      <c r="J278" s="471"/>
      <c r="K278" s="471"/>
      <c r="L278" s="471"/>
      <c r="M278" s="471"/>
      <c r="N278" s="471"/>
      <c r="O278" s="471">
        <f>+'Common Adj'!GK22</f>
        <v>188.64828132116236</v>
      </c>
      <c r="P278" s="471"/>
      <c r="Q278" s="471"/>
      <c r="R278" s="471"/>
      <c r="S278" s="471"/>
      <c r="T278" s="471"/>
      <c r="U278" s="471"/>
      <c r="V278" s="471"/>
      <c r="W278" s="471"/>
      <c r="X278" s="471"/>
      <c r="Y278" s="471"/>
      <c r="Z278" s="518">
        <f>'Common Adj'!OA$19</f>
        <v>-1383595.0370425768</v>
      </c>
      <c r="AA278" s="471"/>
      <c r="AB278" s="471"/>
      <c r="AC278" s="471"/>
      <c r="AD278" s="471"/>
      <c r="AE278" s="471"/>
      <c r="AF278" s="471"/>
      <c r="AG278" s="471"/>
      <c r="AH278" s="471"/>
      <c r="AI278" s="471"/>
      <c r="AJ278" s="471"/>
      <c r="AK278" s="471"/>
      <c r="AL278" s="471"/>
      <c r="AM278" s="471"/>
      <c r="AN278" s="471"/>
      <c r="AO278" s="471"/>
      <c r="AP278" s="471"/>
      <c r="AQ278" s="471"/>
      <c r="AR278" s="471"/>
      <c r="AS278" s="1306"/>
      <c r="AT278" s="471"/>
      <c r="AU278" s="471"/>
      <c r="AV278" s="471"/>
      <c r="AW278" s="471"/>
      <c r="AX278" s="471"/>
      <c r="AY278" s="471"/>
      <c r="AZ278" s="471"/>
      <c r="BB278" s="470">
        <f t="shared" si="226"/>
        <v>-1384813.5627742556</v>
      </c>
      <c r="BC278" s="470">
        <f t="shared" si="227"/>
        <v>14942384.084657842</v>
      </c>
      <c r="BD278" s="444"/>
      <c r="BE278" s="173"/>
      <c r="BF278" s="336"/>
    </row>
    <row r="279" spans="2:58" outlineLevel="1" x14ac:dyDescent="0.35">
      <c r="B279" s="464" t="s">
        <v>63</v>
      </c>
      <c r="C279" s="465" t="s">
        <v>921</v>
      </c>
      <c r="D279" s="470">
        <f t="shared" si="225"/>
        <v>1875042.5248052441</v>
      </c>
      <c r="E279" s="1306"/>
      <c r="F279" s="471"/>
      <c r="G279" s="471"/>
      <c r="H279" s="471"/>
      <c r="I279" s="471"/>
      <c r="J279" s="471"/>
      <c r="K279" s="471"/>
      <c r="L279" s="471"/>
      <c r="M279" s="471"/>
      <c r="N279" s="471"/>
      <c r="O279" s="471">
        <f>+'Common Adj'!GK23+'Common Adj'!GK24</f>
        <v>32.527765172808813</v>
      </c>
      <c r="P279" s="471"/>
      <c r="Q279" s="471"/>
      <c r="R279" s="471"/>
      <c r="S279" s="471"/>
      <c r="T279" s="471"/>
      <c r="U279" s="471"/>
      <c r="V279" s="471"/>
      <c r="W279" s="471"/>
      <c r="X279" s="471"/>
      <c r="Y279" s="471"/>
      <c r="Z279" s="518">
        <f>'Common Adj'!OA$20</f>
        <v>-61313.328571709106</v>
      </c>
      <c r="AA279" s="471"/>
      <c r="AB279" s="471"/>
      <c r="AC279" s="471"/>
      <c r="AD279" s="471"/>
      <c r="AE279" s="471"/>
      <c r="AF279" s="471"/>
      <c r="AG279" s="471"/>
      <c r="AH279" s="471"/>
      <c r="AI279" s="471"/>
      <c r="AJ279" s="471"/>
      <c r="AK279" s="471"/>
      <c r="AL279" s="471"/>
      <c r="AM279" s="471"/>
      <c r="AN279" s="471"/>
      <c r="AO279" s="471"/>
      <c r="AP279" s="471"/>
      <c r="AQ279" s="471"/>
      <c r="AR279" s="471"/>
      <c r="AS279" s="1306"/>
      <c r="AT279" s="471"/>
      <c r="AU279" s="471"/>
      <c r="AV279" s="471"/>
      <c r="AW279" s="471"/>
      <c r="AX279" s="471"/>
      <c r="AY279" s="471"/>
      <c r="AZ279" s="471"/>
      <c r="BB279" s="470">
        <f t="shared" si="226"/>
        <v>-61280.800806536296</v>
      </c>
      <c r="BC279" s="470">
        <f t="shared" si="227"/>
        <v>1813761.7239987077</v>
      </c>
      <c r="BD279" s="444"/>
      <c r="BE279" s="173"/>
      <c r="BF279" s="336"/>
    </row>
    <row r="280" spans="2:58" outlineLevel="1" x14ac:dyDescent="0.35">
      <c r="B280" s="464" t="s">
        <v>64</v>
      </c>
      <c r="C280" s="465" t="s">
        <v>921</v>
      </c>
      <c r="D280" s="470">
        <f t="shared" si="225"/>
        <v>0</v>
      </c>
      <c r="E280" s="1306"/>
      <c r="F280" s="471"/>
      <c r="G280" s="471"/>
      <c r="H280" s="471"/>
      <c r="I280" s="471"/>
      <c r="J280" s="471"/>
      <c r="K280" s="471"/>
      <c r="L280" s="471"/>
      <c r="M280" s="471"/>
      <c r="N280" s="471"/>
      <c r="O280" s="471"/>
      <c r="P280" s="471"/>
      <c r="Q280" s="471"/>
      <c r="R280" s="471"/>
      <c r="S280" s="471"/>
      <c r="T280" s="471"/>
      <c r="U280" s="471"/>
      <c r="V280" s="471"/>
      <c r="W280" s="471"/>
      <c r="X280" s="471"/>
      <c r="Y280" s="471"/>
      <c r="Z280" s="518">
        <f>'Common Adj'!OA$21</f>
        <v>0</v>
      </c>
      <c r="AA280" s="471"/>
      <c r="AB280" s="471"/>
      <c r="AC280" s="471"/>
      <c r="AD280" s="471"/>
      <c r="AE280" s="471"/>
      <c r="AF280" s="471"/>
      <c r="AG280" s="471"/>
      <c r="AH280" s="471"/>
      <c r="AI280" s="471"/>
      <c r="AJ280" s="471"/>
      <c r="AK280" s="471"/>
      <c r="AL280" s="471"/>
      <c r="AM280" s="471"/>
      <c r="AN280" s="471"/>
      <c r="AO280" s="471"/>
      <c r="AP280" s="471"/>
      <c r="AQ280" s="471"/>
      <c r="AR280" s="471"/>
      <c r="AS280" s="1306"/>
      <c r="AT280" s="471"/>
      <c r="AU280" s="471"/>
      <c r="AV280" s="471"/>
      <c r="AW280" s="471"/>
      <c r="AX280" s="471"/>
      <c r="AY280" s="471"/>
      <c r="AZ280" s="471"/>
      <c r="BB280" s="470">
        <f t="shared" si="226"/>
        <v>0</v>
      </c>
      <c r="BC280" s="470">
        <f t="shared" si="227"/>
        <v>0</v>
      </c>
      <c r="BD280" s="444"/>
      <c r="BE280" s="173"/>
      <c r="BF280" s="336"/>
    </row>
    <row r="281" spans="2:58" outlineLevel="1" x14ac:dyDescent="0.35">
      <c r="B281" s="464" t="s">
        <v>65</v>
      </c>
      <c r="C281" s="465" t="s">
        <v>921</v>
      </c>
      <c r="D281" s="470">
        <f t="shared" si="225"/>
        <v>63689240.129760116</v>
      </c>
      <c r="E281" s="1306">
        <f>'Common Adj'!$M$65</f>
        <v>-1946.972</v>
      </c>
      <c r="F281" s="471"/>
      <c r="G281" s="471"/>
      <c r="H281" s="471"/>
      <c r="I281" s="471"/>
      <c r="J281" s="471"/>
      <c r="K281" s="471"/>
      <c r="L281" s="471"/>
      <c r="M281" s="471"/>
      <c r="N281" s="471"/>
      <c r="O281" s="471">
        <f>+'Common Adj'!GK25</f>
        <v>565.25385706778616</v>
      </c>
      <c r="P281" s="471"/>
      <c r="Q281" s="471"/>
      <c r="R281" s="471"/>
      <c r="S281" s="471"/>
      <c r="T281" s="471"/>
      <c r="U281" s="471"/>
      <c r="V281" s="471"/>
      <c r="W281" s="471"/>
      <c r="X281" s="471"/>
      <c r="Y281" s="471"/>
      <c r="Z281" s="518">
        <f>'Common Adj'!OA$22</f>
        <v>7288826.6880556718</v>
      </c>
      <c r="AA281" s="471"/>
      <c r="AB281" s="471"/>
      <c r="AC281" s="471"/>
      <c r="AD281" s="471"/>
      <c r="AE281" s="471"/>
      <c r="AF281" s="471"/>
      <c r="AG281" s="471"/>
      <c r="AH281" s="471"/>
      <c r="AI281" s="471"/>
      <c r="AJ281" s="471"/>
      <c r="AK281" s="471"/>
      <c r="AL281" s="471"/>
      <c r="AM281" s="471"/>
      <c r="AN281" s="471"/>
      <c r="AO281" s="471">
        <f>'Common Adj'!WK16</f>
        <v>14131.56108006672</v>
      </c>
      <c r="AP281" s="471"/>
      <c r="AQ281" s="471"/>
      <c r="AR281" s="471"/>
      <c r="AS281" s="1306"/>
      <c r="AT281" s="471"/>
      <c r="AU281" s="471"/>
      <c r="AV281" s="471"/>
      <c r="AW281" s="471"/>
      <c r="AX281" s="471"/>
      <c r="AY281" s="471"/>
      <c r="AZ281" s="471"/>
      <c r="BB281" s="470">
        <f t="shared" si="226"/>
        <v>7301576.530992806</v>
      </c>
      <c r="BC281" s="470">
        <f t="shared" si="227"/>
        <v>70990816.660752922</v>
      </c>
      <c r="BD281" s="444"/>
      <c r="BE281" s="173"/>
      <c r="BF281" s="336"/>
    </row>
    <row r="282" spans="2:58" outlineLevel="1" x14ac:dyDescent="0.35">
      <c r="B282" s="464" t="s">
        <v>66</v>
      </c>
      <c r="C282" s="465" t="s">
        <v>921</v>
      </c>
      <c r="D282" s="470">
        <f t="shared" si="225"/>
        <v>261594800.04505476</v>
      </c>
      <c r="E282" s="1308"/>
      <c r="F282" s="341"/>
      <c r="G282" s="341"/>
      <c r="H282" s="341"/>
      <c r="I282" s="341"/>
      <c r="J282" s="341"/>
      <c r="K282" s="341"/>
      <c r="L282" s="341"/>
      <c r="M282" s="341"/>
      <c r="N282" s="341"/>
      <c r="O282" s="341"/>
      <c r="P282" s="341"/>
      <c r="Q282" s="341"/>
      <c r="R282" s="341"/>
      <c r="S282" s="341"/>
      <c r="T282" s="341"/>
      <c r="U282" s="341"/>
      <c r="V282" s="341"/>
      <c r="W282" s="341"/>
      <c r="X282" s="341"/>
      <c r="Y282" s="341"/>
      <c r="Z282" s="518"/>
      <c r="AA282" s="341"/>
      <c r="AB282" s="341"/>
      <c r="AC282" s="341"/>
      <c r="AD282" s="341"/>
      <c r="AE282" s="472">
        <f>'Common Adj'!RN17+'Common Adj'!RN18</f>
        <v>-4411272.8182750046</v>
      </c>
      <c r="AF282" s="472">
        <f>'Common Adj'!SF16+'Common Adj'!SF17</f>
        <v>-629245.79000000108</v>
      </c>
      <c r="AG282" s="472">
        <f>'Common Adj'!$SX$16+'Common Adj'!$SX$17</f>
        <v>6901889.2056350037</v>
      </c>
      <c r="AH282" s="472">
        <f>'Common Adj'!$SX$34+'Common Adj'!$SX$35</f>
        <v>2294484.3099999977</v>
      </c>
      <c r="AI282" s="472">
        <f>'Common Adj'!$SX$52+'Common Adj'!$SX$53</f>
        <v>0</v>
      </c>
      <c r="AJ282" s="472">
        <f>'Common Adj'!$SX$70+'Common Adj'!$SX$71</f>
        <v>1882505.4869500003</v>
      </c>
      <c r="AK282" s="341"/>
      <c r="AL282" s="341"/>
      <c r="AM282" s="471"/>
      <c r="AN282" s="341"/>
      <c r="AO282" s="341"/>
      <c r="AP282" s="341"/>
      <c r="AQ282" s="341"/>
      <c r="AR282" s="471">
        <f>'Gas Adj'!CY25</f>
        <v>-748928.48779001692</v>
      </c>
      <c r="AS282" s="1306">
        <f>'Gas Adj'!DH25</f>
        <v>0</v>
      </c>
      <c r="AT282" s="420"/>
      <c r="AU282" s="341"/>
      <c r="AV282" s="341"/>
      <c r="AW282" s="471"/>
      <c r="AX282" s="341"/>
      <c r="AY282" s="341"/>
      <c r="AZ282" s="341"/>
      <c r="BB282" s="470">
        <f t="shared" si="226"/>
        <v>5289431.9065199792</v>
      </c>
      <c r="BC282" s="470">
        <f t="shared" si="227"/>
        <v>266884231.95157474</v>
      </c>
      <c r="BD282" s="444"/>
      <c r="BE282" s="173"/>
      <c r="BF282" s="336"/>
    </row>
    <row r="283" spans="2:58" outlineLevel="1" x14ac:dyDescent="0.35">
      <c r="B283" s="464" t="s">
        <v>67</v>
      </c>
      <c r="C283" s="465" t="s">
        <v>921</v>
      </c>
      <c r="D283" s="470">
        <f t="shared" si="225"/>
        <v>36379318.171449929</v>
      </c>
      <c r="E283" s="1306"/>
      <c r="F283" s="471"/>
      <c r="G283" s="471"/>
      <c r="H283" s="471"/>
      <c r="I283" s="471"/>
      <c r="J283" s="471"/>
      <c r="K283" s="471"/>
      <c r="L283" s="471"/>
      <c r="M283" s="471"/>
      <c r="N283" s="471"/>
      <c r="O283" s="471"/>
      <c r="P283" s="471"/>
      <c r="Q283" s="471"/>
      <c r="R283" s="471"/>
      <c r="S283" s="471"/>
      <c r="T283" s="471"/>
      <c r="U283" s="471"/>
      <c r="V283" s="471"/>
      <c r="W283" s="471"/>
      <c r="X283" s="471"/>
      <c r="Y283" s="471"/>
      <c r="Z283" s="720"/>
      <c r="AA283" s="471"/>
      <c r="AB283" s="471"/>
      <c r="AC283" s="471"/>
      <c r="AD283" s="471"/>
      <c r="AE283" s="471">
        <f>'Common Adj'!RN19+'Common Adj'!RN20</f>
        <v>-4608053.669219967</v>
      </c>
      <c r="AF283" s="471">
        <f>'Common Adj'!SF18+'Common Adj'!SF19</f>
        <v>0</v>
      </c>
      <c r="AG283" s="472">
        <f>'Common Adj'!$SX$18+'Common Adj'!$SX$19</f>
        <v>3676415.3456249991</v>
      </c>
      <c r="AH283" s="472">
        <f>'Common Adj'!$SX$36+'Common Adj'!$SX$37</f>
        <v>0</v>
      </c>
      <c r="AI283" s="472">
        <f>'Common Adj'!$SX$54+'Common Adj'!$SX$55</f>
        <v>243767.49736000001</v>
      </c>
      <c r="AJ283" s="472">
        <f>'Common Adj'!$SX$72+'Common Adj'!$SX$73</f>
        <v>6463125.7664349992</v>
      </c>
      <c r="AK283" s="471"/>
      <c r="AL283" s="471"/>
      <c r="AM283" s="471"/>
      <c r="AN283" s="471"/>
      <c r="AO283" s="471"/>
      <c r="AP283" s="471"/>
      <c r="AQ283" s="471"/>
      <c r="AR283" s="471">
        <f>'Gas Adj'!CY26</f>
        <v>-117906.41138000035</v>
      </c>
      <c r="AS283" s="1306">
        <f>'Gas Adj'!DH26</f>
        <v>0</v>
      </c>
      <c r="AT283" s="471"/>
      <c r="AU283" s="471"/>
      <c r="AV283" s="471"/>
      <c r="AW283" s="471"/>
      <c r="AX283" s="471"/>
      <c r="AY283" s="471"/>
      <c r="AZ283" s="471"/>
      <c r="BB283" s="470">
        <f t="shared" si="226"/>
        <v>5657348.5288200313</v>
      </c>
      <c r="BC283" s="470">
        <f t="shared" si="227"/>
        <v>42036666.70026996</v>
      </c>
      <c r="BD283" s="444"/>
      <c r="BE283" s="173"/>
      <c r="BF283" s="336"/>
    </row>
    <row r="284" spans="2:58" outlineLevel="1" x14ac:dyDescent="0.35">
      <c r="B284" s="480" t="s">
        <v>68</v>
      </c>
      <c r="C284" s="465" t="s">
        <v>921</v>
      </c>
      <c r="D284" s="470">
        <f t="shared" si="225"/>
        <v>0</v>
      </c>
      <c r="E284" s="1306"/>
      <c r="F284" s="471"/>
      <c r="G284" s="471"/>
      <c r="H284" s="471"/>
      <c r="I284" s="471"/>
      <c r="J284" s="471"/>
      <c r="K284" s="471"/>
      <c r="L284" s="471"/>
      <c r="M284" s="471"/>
      <c r="N284" s="471"/>
      <c r="O284" s="471"/>
      <c r="P284" s="471"/>
      <c r="Q284" s="471"/>
      <c r="R284" s="471"/>
      <c r="S284" s="471"/>
      <c r="T284" s="471"/>
      <c r="U284" s="471"/>
      <c r="V284" s="471"/>
      <c r="W284" s="471"/>
      <c r="X284" s="471"/>
      <c r="Y284" s="471"/>
      <c r="Z284" s="720"/>
      <c r="AA284" s="471"/>
      <c r="AB284" s="471"/>
      <c r="AC284" s="471"/>
      <c r="AD284" s="471"/>
      <c r="AE284" s="471"/>
      <c r="AF284" s="471"/>
      <c r="AG284" s="472"/>
      <c r="AH284" s="472"/>
      <c r="AI284" s="472"/>
      <c r="AJ284" s="472"/>
      <c r="AK284" s="471"/>
      <c r="AL284" s="471"/>
      <c r="AM284" s="471"/>
      <c r="AN284" s="471"/>
      <c r="AO284" s="471"/>
      <c r="AP284" s="471"/>
      <c r="AQ284" s="471"/>
      <c r="AR284" s="471"/>
      <c r="AS284" s="1306"/>
      <c r="AT284" s="471"/>
      <c r="AU284" s="471"/>
      <c r="AV284" s="471"/>
      <c r="AW284" s="471"/>
      <c r="AX284" s="471"/>
      <c r="AY284" s="471"/>
      <c r="AZ284" s="471"/>
      <c r="BB284" s="470">
        <f t="shared" si="226"/>
        <v>0</v>
      </c>
      <c r="BC284" s="470">
        <f t="shared" si="227"/>
        <v>0</v>
      </c>
      <c r="BD284" s="444"/>
      <c r="BE284" s="173"/>
      <c r="BF284" s="336"/>
    </row>
    <row r="285" spans="2:58" outlineLevel="1" x14ac:dyDescent="0.35">
      <c r="B285" s="464" t="s">
        <v>69</v>
      </c>
      <c r="C285" s="465" t="s">
        <v>921</v>
      </c>
      <c r="D285" s="470">
        <f t="shared" si="225"/>
        <v>24708100.678042449</v>
      </c>
      <c r="E285" s="1306"/>
      <c r="F285" s="471"/>
      <c r="G285" s="471"/>
      <c r="H285" s="471"/>
      <c r="I285" s="471"/>
      <c r="J285" s="471"/>
      <c r="K285" s="471"/>
      <c r="L285" s="471"/>
      <c r="M285" s="471"/>
      <c r="N285" s="471"/>
      <c r="O285" s="471"/>
      <c r="P285" s="471"/>
      <c r="Q285" s="471"/>
      <c r="R285" s="471"/>
      <c r="S285" s="471">
        <f>'Common Adj'!JE18</f>
        <v>-1877404.0336111076</v>
      </c>
      <c r="T285" s="471"/>
      <c r="U285" s="471"/>
      <c r="V285" s="471"/>
      <c r="W285" s="471"/>
      <c r="X285" s="471"/>
      <c r="Y285" s="471"/>
      <c r="Z285" s="518"/>
      <c r="AA285" s="471"/>
      <c r="AB285" s="471"/>
      <c r="AC285" s="471">
        <f>'Common Adj'!QC17</f>
        <v>-1789107.5335728293</v>
      </c>
      <c r="AD285" s="471"/>
      <c r="AE285" s="471"/>
      <c r="AF285" s="471"/>
      <c r="AG285" s="472"/>
      <c r="AH285" s="472"/>
      <c r="AI285" s="472"/>
      <c r="AJ285" s="472"/>
      <c r="AK285" s="471"/>
      <c r="AL285" s="471">
        <f>'Common Adj'!VC24</f>
        <v>0</v>
      </c>
      <c r="AM285" s="471"/>
      <c r="AN285" s="471"/>
      <c r="AO285" s="471"/>
      <c r="AP285" s="471"/>
      <c r="AQ285" s="471">
        <f>'Gas Adj'!CG44-'Gas Adj'!CG33-'Gas Adj'!CG36</f>
        <v>-3158565.3603837881</v>
      </c>
      <c r="AR285" s="471"/>
      <c r="AS285" s="1306">
        <v>3852325</v>
      </c>
      <c r="AT285" s="471"/>
      <c r="AU285" s="471"/>
      <c r="AV285" s="471"/>
      <c r="AW285" s="471"/>
      <c r="AX285" s="471"/>
      <c r="AY285" s="471"/>
      <c r="AZ285" s="471"/>
      <c r="BB285" s="470">
        <f t="shared" si="226"/>
        <v>-2972751.9275677251</v>
      </c>
      <c r="BC285" s="470">
        <f t="shared" si="227"/>
        <v>21735348.750474725</v>
      </c>
      <c r="BD285" s="444"/>
      <c r="BE285" s="173"/>
      <c r="BF285" s="336"/>
    </row>
    <row r="286" spans="2:58" outlineLevel="1" x14ac:dyDescent="0.35">
      <c r="B286" s="464" t="s">
        <v>70</v>
      </c>
      <c r="C286" s="465" t="s">
        <v>921</v>
      </c>
      <c r="D286" s="470">
        <f t="shared" si="225"/>
        <v>24258785.916667935</v>
      </c>
      <c r="E286" s="1306">
        <f>'Common Adj'!$M$66</f>
        <v>-18695.311887</v>
      </c>
      <c r="F286" s="471"/>
      <c r="G286" s="471"/>
      <c r="H286" s="471"/>
      <c r="I286" s="471"/>
      <c r="J286" s="471"/>
      <c r="K286" s="471"/>
      <c r="L286" s="471"/>
      <c r="M286" s="471"/>
      <c r="N286" s="471"/>
      <c r="O286" s="471">
        <f>+'Common Adj'!GK28</f>
        <v>155.74030751886735</v>
      </c>
      <c r="P286" s="471"/>
      <c r="Q286" s="471"/>
      <c r="R286" s="471"/>
      <c r="S286" s="471"/>
      <c r="T286" s="471"/>
      <c r="U286" s="471"/>
      <c r="V286" s="471"/>
      <c r="W286" s="471"/>
      <c r="X286" s="471"/>
      <c r="Y286" s="471"/>
      <c r="Z286" s="720">
        <f>'Common Adj'!OA$23</f>
        <v>2190298.4134793999</v>
      </c>
      <c r="AA286" s="471"/>
      <c r="AB286" s="471"/>
      <c r="AC286" s="471"/>
      <c r="AD286" s="471"/>
      <c r="AE286" s="471"/>
      <c r="AF286" s="471"/>
      <c r="AG286" s="472"/>
      <c r="AH286" s="472"/>
      <c r="AI286" s="472"/>
      <c r="AJ286" s="472"/>
      <c r="AK286" s="471"/>
      <c r="AL286" s="471"/>
      <c r="AM286" s="471"/>
      <c r="AN286" s="471"/>
      <c r="AO286" s="471"/>
      <c r="AP286" s="471"/>
      <c r="AQ286" s="471"/>
      <c r="AR286" s="471"/>
      <c r="AS286" s="1306"/>
      <c r="AT286" s="471"/>
      <c r="AU286" s="471"/>
      <c r="AV286" s="471"/>
      <c r="AW286" s="471"/>
      <c r="AX286" s="471"/>
      <c r="AY286" s="471"/>
      <c r="AZ286" s="471"/>
      <c r="BB286" s="470">
        <f t="shared" si="226"/>
        <v>2171758.8418999189</v>
      </c>
      <c r="BC286" s="470">
        <f t="shared" si="227"/>
        <v>26430544.758567855</v>
      </c>
      <c r="BD286" s="444"/>
      <c r="BE286" s="173"/>
      <c r="BF286" s="336"/>
    </row>
    <row r="287" spans="2:58" outlineLevel="1" x14ac:dyDescent="0.35">
      <c r="B287" s="464" t="s">
        <v>71</v>
      </c>
      <c r="C287" s="465" t="s">
        <v>921</v>
      </c>
      <c r="D287" s="470">
        <f t="shared" si="225"/>
        <v>-9557419.2651374452</v>
      </c>
      <c r="E287" s="1306">
        <f>'Common Adj'!$M$70</f>
        <v>-97585.643840999997</v>
      </c>
      <c r="F287" s="471"/>
      <c r="G287" s="471"/>
      <c r="H287" s="471"/>
      <c r="I287" s="471">
        <f>'Common Adj'!CG23</f>
        <v>-100756.73972158178</v>
      </c>
      <c r="J287" s="471"/>
      <c r="K287" s="471"/>
      <c r="L287" s="471"/>
      <c r="M287" s="471"/>
      <c r="N287" s="471"/>
      <c r="O287" s="471">
        <f>+'Common Adj'!GK31</f>
        <v>-404.78128458990801</v>
      </c>
      <c r="P287" s="471"/>
      <c r="Q287" s="471"/>
      <c r="R287" s="471"/>
      <c r="S287" s="471">
        <f>'Common Adj'!JE21</f>
        <v>394254.84705833258</v>
      </c>
      <c r="T287" s="471"/>
      <c r="U287" s="471"/>
      <c r="V287" s="471"/>
      <c r="W287" s="471"/>
      <c r="X287" s="471"/>
      <c r="Y287" s="471"/>
      <c r="Z287" s="720">
        <f>'Common Adj'!OA$30</f>
        <v>-1619661.0019637609</v>
      </c>
      <c r="AA287" s="471"/>
      <c r="AB287" s="471"/>
      <c r="AC287" s="471">
        <f>'Common Adj'!QC20</f>
        <v>375712.58205029415</v>
      </c>
      <c r="AD287" s="471"/>
      <c r="AE287" s="471">
        <f>'Common Adj'!RN29</f>
        <v>1894058.5623739439</v>
      </c>
      <c r="AF287" s="471">
        <f>'Common Adj'!SF28</f>
        <v>132141.61590000024</v>
      </c>
      <c r="AG287" s="472">
        <f>'Common Adj'!$SX$24</f>
        <v>-2221443.9557646005</v>
      </c>
      <c r="AH287" s="472">
        <f>'Common Adj'!$SX$42</f>
        <v>-481841.7050999995</v>
      </c>
      <c r="AI287" s="472">
        <f>'Common Adj'!$SX$60</f>
        <v>-51191.174445600001</v>
      </c>
      <c r="AJ287" s="472">
        <f>'Common Adj'!$SX$78</f>
        <v>-1752582.5632108499</v>
      </c>
      <c r="AK287" s="471"/>
      <c r="AL287" s="471">
        <f>'Common Adj'!VC26</f>
        <v>0</v>
      </c>
      <c r="AM287" s="471"/>
      <c r="AN287" s="471"/>
      <c r="AO287" s="471">
        <f>'Common Adj'!WK20</f>
        <v>-2967.6278268140113</v>
      </c>
      <c r="AP287" s="471"/>
      <c r="AQ287" s="471">
        <f>'Gas Adj'!CG46</f>
        <v>1215695.834247157</v>
      </c>
      <c r="AR287" s="471">
        <f>'Gas Adj'!CY29</f>
        <v>182035.32882570365</v>
      </c>
      <c r="AS287" s="1306">
        <f>'Gas Adj'!DH29</f>
        <v>0</v>
      </c>
      <c r="AT287" s="415"/>
      <c r="AU287" s="471"/>
      <c r="AV287" s="471"/>
      <c r="AW287" s="471"/>
      <c r="AX287" s="471"/>
      <c r="AY287" s="471"/>
      <c r="AZ287" s="471"/>
      <c r="BB287" s="470">
        <f t="shared" si="226"/>
        <v>-2134536.4227033649</v>
      </c>
      <c r="BC287" s="470">
        <f t="shared" si="227"/>
        <v>-11691955.68784081</v>
      </c>
      <c r="BD287" s="444"/>
      <c r="BE287" s="173"/>
      <c r="BF287" s="336"/>
    </row>
    <row r="288" spans="2:58" outlineLevel="1" x14ac:dyDescent="0.35">
      <c r="B288" s="329" t="s">
        <v>72</v>
      </c>
      <c r="C288" s="465" t="s">
        <v>921</v>
      </c>
      <c r="D288" s="470">
        <f t="shared" si="225"/>
        <v>-10922291.989409678</v>
      </c>
      <c r="E288" s="1306"/>
      <c r="F288" s="471"/>
      <c r="G288" s="471"/>
      <c r="H288" s="471">
        <f>SUM('Common Adj'!BO17:BO19)</f>
        <v>-184598.59659993602</v>
      </c>
      <c r="I288" s="471"/>
      <c r="J288" s="471"/>
      <c r="K288" s="471"/>
      <c r="L288" s="471"/>
      <c r="M288" s="471"/>
      <c r="N288" s="471"/>
      <c r="O288" s="471"/>
      <c r="P288" s="471"/>
      <c r="Q288" s="471"/>
      <c r="R288" s="471"/>
      <c r="S288" s="471"/>
      <c r="T288" s="471"/>
      <c r="U288" s="471"/>
      <c r="V288" s="471"/>
      <c r="W288" s="47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1306"/>
      <c r="AT288" s="471"/>
      <c r="AU288" s="471"/>
      <c r="AV288" s="471"/>
      <c r="AW288" s="471"/>
      <c r="AX288" s="471"/>
      <c r="AY288" s="471"/>
      <c r="AZ288" s="471"/>
      <c r="BB288" s="470">
        <f t="shared" si="226"/>
        <v>-184598.59659993602</v>
      </c>
      <c r="BC288" s="470">
        <f t="shared" si="227"/>
        <v>-11106890.586009614</v>
      </c>
      <c r="BD288" s="444"/>
      <c r="BE288" s="173"/>
      <c r="BF288" s="336"/>
    </row>
    <row r="289" spans="2:58" outlineLevel="1" x14ac:dyDescent="0.35">
      <c r="B289" s="464" t="s">
        <v>2</v>
      </c>
      <c r="C289" s="465" t="s">
        <v>921</v>
      </c>
      <c r="D289" s="477">
        <f>SUM(D273:D288)</f>
        <v>505271623.19455522</v>
      </c>
      <c r="E289" s="1310">
        <f t="shared" ref="E289:AR289" si="228">SUM(E273:E288)</f>
        <v>-119635.10174099999</v>
      </c>
      <c r="F289" s="478">
        <f t="shared" si="228"/>
        <v>0</v>
      </c>
      <c r="G289" s="478">
        <f t="shared" si="228"/>
        <v>0</v>
      </c>
      <c r="H289" s="478">
        <f t="shared" si="228"/>
        <v>-184598.59659993602</v>
      </c>
      <c r="I289" s="478">
        <f t="shared" si="228"/>
        <v>-100756.73972158178</v>
      </c>
      <c r="J289" s="478">
        <f t="shared" si="228"/>
        <v>0</v>
      </c>
      <c r="K289" s="478">
        <f t="shared" si="228"/>
        <v>0</v>
      </c>
      <c r="L289" s="478">
        <f t="shared" si="228"/>
        <v>0</v>
      </c>
      <c r="M289" s="478">
        <f t="shared" si="228"/>
        <v>0</v>
      </c>
      <c r="N289" s="478">
        <f t="shared" si="228"/>
        <v>0</v>
      </c>
      <c r="O289" s="478">
        <f t="shared" si="228"/>
        <v>1522.7486420287016</v>
      </c>
      <c r="P289" s="478">
        <f t="shared" si="228"/>
        <v>0</v>
      </c>
      <c r="Q289" s="478">
        <f t="shared" si="228"/>
        <v>0</v>
      </c>
      <c r="R289" s="478">
        <f t="shared" si="228"/>
        <v>0</v>
      </c>
      <c r="S289" s="478">
        <f t="shared" si="228"/>
        <v>-1483149.1865527751</v>
      </c>
      <c r="T289" s="478">
        <f t="shared" si="228"/>
        <v>0</v>
      </c>
      <c r="U289" s="478">
        <f t="shared" si="228"/>
        <v>0</v>
      </c>
      <c r="V289" s="478">
        <f t="shared" si="228"/>
        <v>0</v>
      </c>
      <c r="W289" s="478">
        <f t="shared" si="228"/>
        <v>0</v>
      </c>
      <c r="X289" s="478">
        <f t="shared" si="228"/>
        <v>0</v>
      </c>
      <c r="Y289" s="478">
        <f t="shared" si="228"/>
        <v>0</v>
      </c>
      <c r="Z289" s="478">
        <f t="shared" si="228"/>
        <v>6093010.4359589107</v>
      </c>
      <c r="AA289" s="478">
        <f t="shared" si="228"/>
        <v>0</v>
      </c>
      <c r="AB289" s="478">
        <f t="shared" si="228"/>
        <v>0</v>
      </c>
      <c r="AC289" s="478">
        <f t="shared" si="228"/>
        <v>-1413394.9515225352</v>
      </c>
      <c r="AD289" s="478">
        <f t="shared" ref="AD289" si="229">SUM(AD273:AD288)</f>
        <v>0</v>
      </c>
      <c r="AE289" s="478">
        <f t="shared" si="228"/>
        <v>-7125267.925121028</v>
      </c>
      <c r="AF289" s="478">
        <f t="shared" si="228"/>
        <v>-497104.17410000088</v>
      </c>
      <c r="AG289" s="478">
        <f t="shared" si="228"/>
        <v>8356860.595495401</v>
      </c>
      <c r="AH289" s="478">
        <f t="shared" ref="AH289:AL289" si="230">SUM(AH273:AH288)</f>
        <v>1812642.6048999983</v>
      </c>
      <c r="AI289" s="478">
        <f t="shared" si="230"/>
        <v>192576.32291440002</v>
      </c>
      <c r="AJ289" s="478">
        <f t="shared" si="230"/>
        <v>6593048.6901741503</v>
      </c>
      <c r="AK289" s="478">
        <f t="shared" si="230"/>
        <v>0</v>
      </c>
      <c r="AL289" s="478">
        <f t="shared" si="230"/>
        <v>0</v>
      </c>
      <c r="AM289" s="479">
        <f t="shared" ref="AM289:AN289" si="231">SUM(AM273:AM288)</f>
        <v>0</v>
      </c>
      <c r="AN289" s="479">
        <f t="shared" si="231"/>
        <v>0</v>
      </c>
      <c r="AO289" s="479">
        <f t="shared" ref="AO289" si="232">SUM(AO273:AO288)</f>
        <v>11163.933253252708</v>
      </c>
      <c r="AP289" s="478">
        <f t="shared" si="228"/>
        <v>0</v>
      </c>
      <c r="AQ289" s="478">
        <f t="shared" si="228"/>
        <v>-1942869.5261366311</v>
      </c>
      <c r="AR289" s="478">
        <f t="shared" si="228"/>
        <v>-684799.57034431375</v>
      </c>
      <c r="AS289" s="1310">
        <f t="shared" ref="AS289" si="233">SUM(AS273:AS288)</f>
        <v>3852325</v>
      </c>
      <c r="AT289" s="478"/>
      <c r="AU289" s="478"/>
      <c r="AV289" s="478"/>
      <c r="AW289" s="478"/>
      <c r="AX289" s="478"/>
      <c r="AY289" s="478"/>
      <c r="AZ289" s="478"/>
      <c r="BB289" s="477">
        <f>SUM(BB273:BB288)</f>
        <v>13361574.55949834</v>
      </c>
      <c r="BC289" s="477">
        <f>SUM(BC273:BC288)</f>
        <v>518633197.75405347</v>
      </c>
      <c r="BD289" s="444"/>
      <c r="BE289" s="173"/>
      <c r="BF289" s="336"/>
    </row>
    <row r="290" spans="2:58" outlineLevel="1" x14ac:dyDescent="0.35">
      <c r="C290" s="465" t="s">
        <v>921</v>
      </c>
      <c r="D290" s="482"/>
      <c r="E290" s="1311"/>
      <c r="F290" s="363"/>
      <c r="G290" s="363"/>
      <c r="H290" s="363"/>
      <c r="I290" s="363"/>
      <c r="J290" s="363"/>
      <c r="K290" s="363"/>
      <c r="L290" s="363"/>
      <c r="M290" s="363"/>
      <c r="N290" s="363"/>
      <c r="O290" s="363"/>
      <c r="P290" s="363"/>
      <c r="Q290" s="363"/>
      <c r="R290" s="363"/>
      <c r="S290" s="363"/>
      <c r="T290" s="363"/>
      <c r="U290" s="363"/>
      <c r="V290" s="363"/>
      <c r="W290" s="363"/>
      <c r="X290" s="363"/>
      <c r="Y290" s="363"/>
      <c r="Z290" s="363"/>
      <c r="AA290" s="363"/>
      <c r="AB290" s="363"/>
      <c r="AC290" s="363"/>
      <c r="AD290" s="363"/>
      <c r="AE290" s="363"/>
      <c r="AF290" s="363"/>
      <c r="AG290" s="363"/>
      <c r="AH290" s="363"/>
      <c r="AI290" s="363"/>
      <c r="AJ290" s="363"/>
      <c r="AK290" s="363"/>
      <c r="AL290" s="363"/>
      <c r="AM290" s="483"/>
      <c r="AN290" s="363"/>
      <c r="AO290" s="363"/>
      <c r="AP290" s="363"/>
      <c r="AQ290" s="363"/>
      <c r="AR290" s="363"/>
      <c r="AS290" s="1311"/>
      <c r="AT290" s="363"/>
      <c r="AU290" s="363"/>
      <c r="AV290" s="363"/>
      <c r="AW290" s="363"/>
      <c r="AX290" s="363"/>
      <c r="AY290" s="363"/>
      <c r="AZ290" s="363"/>
      <c r="BB290" s="482"/>
      <c r="BC290" s="482"/>
      <c r="BD290" s="444"/>
      <c r="BE290" s="173"/>
      <c r="BF290" s="336"/>
    </row>
    <row r="291" spans="2:58" ht="15" outlineLevel="1" thickBot="1" x14ac:dyDescent="0.4">
      <c r="B291" s="329" t="s">
        <v>4</v>
      </c>
      <c r="C291" s="465" t="s">
        <v>921</v>
      </c>
      <c r="D291" s="484">
        <f>+D264-D289</f>
        <v>44897236.749018729</v>
      </c>
      <c r="E291" s="1312">
        <f t="shared" ref="E291:AR291" si="234">+E264-E289</f>
        <v>-367107.89825900004</v>
      </c>
      <c r="F291" s="485">
        <f t="shared" si="234"/>
        <v>0</v>
      </c>
      <c r="G291" s="485">
        <f t="shared" si="234"/>
        <v>0</v>
      </c>
      <c r="H291" s="485">
        <f t="shared" si="234"/>
        <v>184598.59659993602</v>
      </c>
      <c r="I291" s="485">
        <f t="shared" si="234"/>
        <v>100756.73972158178</v>
      </c>
      <c r="J291" s="485">
        <f t="shared" si="234"/>
        <v>0</v>
      </c>
      <c r="K291" s="485">
        <f t="shared" si="234"/>
        <v>0</v>
      </c>
      <c r="L291" s="485">
        <f t="shared" si="234"/>
        <v>0</v>
      </c>
      <c r="M291" s="485">
        <f t="shared" si="234"/>
        <v>0</v>
      </c>
      <c r="N291" s="485">
        <f t="shared" si="234"/>
        <v>0</v>
      </c>
      <c r="O291" s="485">
        <f t="shared" si="234"/>
        <v>-1522.7486420287016</v>
      </c>
      <c r="P291" s="485">
        <f t="shared" si="234"/>
        <v>0</v>
      </c>
      <c r="Q291" s="485">
        <f t="shared" si="234"/>
        <v>0</v>
      </c>
      <c r="R291" s="485">
        <f t="shared" si="234"/>
        <v>0</v>
      </c>
      <c r="S291" s="485">
        <f t="shared" si="234"/>
        <v>1483149.1865527751</v>
      </c>
      <c r="T291" s="485">
        <f t="shared" si="234"/>
        <v>0</v>
      </c>
      <c r="U291" s="485">
        <f t="shared" si="234"/>
        <v>0</v>
      </c>
      <c r="V291" s="485">
        <f t="shared" si="234"/>
        <v>0</v>
      </c>
      <c r="W291" s="485">
        <f t="shared" si="234"/>
        <v>0</v>
      </c>
      <c r="X291" s="485">
        <f t="shared" si="234"/>
        <v>0</v>
      </c>
      <c r="Y291" s="485">
        <f t="shared" si="234"/>
        <v>0</v>
      </c>
      <c r="Z291" s="485">
        <f t="shared" si="234"/>
        <v>-6093010.4359589107</v>
      </c>
      <c r="AA291" s="485">
        <f t="shared" si="234"/>
        <v>0</v>
      </c>
      <c r="AB291" s="485">
        <f t="shared" si="234"/>
        <v>0</v>
      </c>
      <c r="AC291" s="485">
        <f t="shared" si="234"/>
        <v>1413394.9515225352</v>
      </c>
      <c r="AD291" s="485">
        <f t="shared" ref="AD291" si="235">+AD264-AD289</f>
        <v>0</v>
      </c>
      <c r="AE291" s="485">
        <f t="shared" si="234"/>
        <v>7125267.925121028</v>
      </c>
      <c r="AF291" s="485">
        <f t="shared" si="234"/>
        <v>497104.17410000088</v>
      </c>
      <c r="AG291" s="485">
        <f t="shared" si="234"/>
        <v>-8356860.595495401</v>
      </c>
      <c r="AH291" s="485">
        <f t="shared" ref="AH291:AJ291" si="236">+AH264-AH289</f>
        <v>-1812642.6048999983</v>
      </c>
      <c r="AI291" s="485">
        <f t="shared" si="236"/>
        <v>-192576.32291440002</v>
      </c>
      <c r="AJ291" s="485">
        <f t="shared" si="236"/>
        <v>-6593048.6901741503</v>
      </c>
      <c r="AK291" s="485">
        <f t="shared" si="234"/>
        <v>0</v>
      </c>
      <c r="AL291" s="485">
        <f t="shared" si="234"/>
        <v>0</v>
      </c>
      <c r="AM291" s="486">
        <f t="shared" si="234"/>
        <v>0</v>
      </c>
      <c r="AN291" s="486">
        <f t="shared" si="234"/>
        <v>0</v>
      </c>
      <c r="AO291" s="486">
        <f t="shared" ref="AO291" si="237">+AO264-AO289</f>
        <v>-11163.933253252708</v>
      </c>
      <c r="AP291" s="485">
        <f t="shared" si="234"/>
        <v>0</v>
      </c>
      <c r="AQ291" s="485">
        <f t="shared" si="234"/>
        <v>4573331.9478821624</v>
      </c>
      <c r="AR291" s="485">
        <f t="shared" si="234"/>
        <v>684799.57034431375</v>
      </c>
      <c r="AS291" s="1312">
        <f t="shared" ref="AS291" si="238">+AS264-AS289</f>
        <v>-3852325</v>
      </c>
      <c r="AT291" s="485"/>
      <c r="AU291" s="485"/>
      <c r="AV291" s="485"/>
      <c r="AW291" s="485"/>
      <c r="AX291" s="485"/>
      <c r="AY291" s="485"/>
      <c r="AZ291" s="485"/>
      <c r="BB291" s="484">
        <f>+BB264-BB289</f>
        <v>-11217855.137752809</v>
      </c>
      <c r="BC291" s="484">
        <f>+BC264-BC289</f>
        <v>33679381.611266017</v>
      </c>
      <c r="BD291" s="444"/>
      <c r="BE291" s="173"/>
      <c r="BF291" s="336"/>
    </row>
    <row r="292" spans="2:58" ht="12" customHeight="1" outlineLevel="1" thickTop="1" x14ac:dyDescent="0.35">
      <c r="B292"/>
      <c r="C292" s="465" t="s">
        <v>921</v>
      </c>
      <c r="D292" s="219"/>
      <c r="E292" s="1313"/>
      <c r="F292" s="416"/>
      <c r="G292" s="416"/>
      <c r="H292" s="416"/>
      <c r="I292" s="416"/>
      <c r="J292" s="416"/>
      <c r="K292" s="416"/>
      <c r="L292" s="416"/>
      <c r="M292" s="416"/>
      <c r="N292" s="416"/>
      <c r="O292" s="416"/>
      <c r="P292" s="416"/>
      <c r="Q292" s="416"/>
      <c r="R292" s="416"/>
      <c r="S292" s="416"/>
      <c r="T292" s="416"/>
      <c r="U292" s="416"/>
      <c r="V292" s="416"/>
      <c r="W292" s="416"/>
      <c r="X292" s="416"/>
      <c r="Y292" s="416"/>
      <c r="Z292" s="416"/>
      <c r="AA292" s="416"/>
      <c r="AB292" s="416"/>
      <c r="AC292" s="416"/>
      <c r="AD292" s="416"/>
      <c r="AE292" s="416"/>
      <c r="AF292" s="416"/>
      <c r="AG292" s="416"/>
      <c r="AH292" s="416"/>
      <c r="AI292" s="416"/>
      <c r="AJ292" s="416"/>
      <c r="AK292" s="416"/>
      <c r="AL292" s="416"/>
      <c r="AM292" s="116"/>
      <c r="AN292" s="416"/>
      <c r="AO292" s="416"/>
      <c r="AP292" s="416"/>
      <c r="AQ292" s="416"/>
      <c r="AR292" s="416"/>
      <c r="AS292" s="1313"/>
      <c r="AT292" s="416"/>
      <c r="AU292" s="416"/>
      <c r="AV292" s="416"/>
      <c r="AW292" s="416"/>
      <c r="AX292" s="416"/>
      <c r="AY292" s="416"/>
      <c r="AZ292" s="416"/>
      <c r="BB292" s="219"/>
      <c r="BC292" s="219"/>
      <c r="BD292" s="444"/>
      <c r="BE292" s="173"/>
      <c r="BF292" s="336"/>
    </row>
    <row r="293" spans="2:58" outlineLevel="1" x14ac:dyDescent="0.35">
      <c r="B293" s="464" t="s">
        <v>124</v>
      </c>
      <c r="C293" s="465" t="s">
        <v>921</v>
      </c>
      <c r="D293" s="476">
        <f>D304</f>
        <v>2866503992.9496732</v>
      </c>
      <c r="E293" s="1309">
        <f t="shared" ref="E293:AR293" si="239">E304</f>
        <v>0</v>
      </c>
      <c r="F293" s="420">
        <f t="shared" si="239"/>
        <v>0</v>
      </c>
      <c r="G293" s="420">
        <f t="shared" si="239"/>
        <v>0</v>
      </c>
      <c r="H293" s="420">
        <f t="shared" si="239"/>
        <v>0</v>
      </c>
      <c r="I293" s="420">
        <f t="shared" si="239"/>
        <v>0</v>
      </c>
      <c r="J293" s="420">
        <f t="shared" si="239"/>
        <v>0</v>
      </c>
      <c r="K293" s="420">
        <f t="shared" si="239"/>
        <v>0</v>
      </c>
      <c r="L293" s="420">
        <f t="shared" si="239"/>
        <v>0</v>
      </c>
      <c r="M293" s="420">
        <f t="shared" si="239"/>
        <v>0</v>
      </c>
      <c r="N293" s="420">
        <f t="shared" si="239"/>
        <v>0</v>
      </c>
      <c r="O293" s="420">
        <f t="shared" si="239"/>
        <v>0</v>
      </c>
      <c r="P293" s="420">
        <f t="shared" si="239"/>
        <v>0</v>
      </c>
      <c r="Q293" s="420">
        <f t="shared" si="239"/>
        <v>0</v>
      </c>
      <c r="R293" s="420">
        <f t="shared" si="239"/>
        <v>0</v>
      </c>
      <c r="S293" s="420">
        <f t="shared" si="239"/>
        <v>0</v>
      </c>
      <c r="T293" s="420">
        <f t="shared" si="239"/>
        <v>0</v>
      </c>
      <c r="U293" s="420">
        <f t="shared" si="239"/>
        <v>0</v>
      </c>
      <c r="V293" s="420">
        <f t="shared" si="239"/>
        <v>0</v>
      </c>
      <c r="W293" s="420">
        <f t="shared" si="239"/>
        <v>0</v>
      </c>
      <c r="X293" s="420">
        <f t="shared" si="239"/>
        <v>0</v>
      </c>
      <c r="Y293" s="420">
        <f t="shared" si="239"/>
        <v>0</v>
      </c>
      <c r="Z293" s="420">
        <f t="shared" si="239"/>
        <v>0</v>
      </c>
      <c r="AA293" s="420">
        <f t="shared" si="239"/>
        <v>0</v>
      </c>
      <c r="AB293" s="420">
        <f t="shared" si="239"/>
        <v>0</v>
      </c>
      <c r="AC293" s="420">
        <f t="shared" si="239"/>
        <v>0</v>
      </c>
      <c r="AD293" s="420">
        <f t="shared" ref="AD293" si="240">AD304</f>
        <v>0</v>
      </c>
      <c r="AE293" s="420">
        <f t="shared" si="239"/>
        <v>-212142643.35983646</v>
      </c>
      <c r="AF293" s="420">
        <f t="shared" si="239"/>
        <v>1154341.1600000001</v>
      </c>
      <c r="AG293" s="420">
        <f t="shared" si="239"/>
        <v>122407421.21765506</v>
      </c>
      <c r="AH293" s="420">
        <f t="shared" ref="AH293:AJ293" si="241">AH304</f>
        <v>43611657.550000012</v>
      </c>
      <c r="AI293" s="420">
        <f t="shared" si="241"/>
        <v>1774798.5898300002</v>
      </c>
      <c r="AJ293" s="420">
        <f t="shared" si="241"/>
        <v>44104526.972805083</v>
      </c>
      <c r="AK293" s="420">
        <f t="shared" si="239"/>
        <v>0</v>
      </c>
      <c r="AL293" s="420">
        <f t="shared" si="239"/>
        <v>0</v>
      </c>
      <c r="AM293" s="420">
        <f t="shared" si="239"/>
        <v>0</v>
      </c>
      <c r="AN293" s="420">
        <f t="shared" si="239"/>
        <v>0</v>
      </c>
      <c r="AO293" s="420"/>
      <c r="AP293" s="420">
        <f t="shared" si="239"/>
        <v>0</v>
      </c>
      <c r="AQ293" s="420">
        <f t="shared" si="239"/>
        <v>-5437988.3141693044</v>
      </c>
      <c r="AR293" s="420">
        <f t="shared" si="239"/>
        <v>1152189.4358550543</v>
      </c>
      <c r="AS293" s="1309">
        <f t="shared" ref="AS293" si="242">AS304</f>
        <v>0</v>
      </c>
      <c r="AT293" s="420"/>
      <c r="AU293" s="420"/>
      <c r="AV293" s="420"/>
      <c r="AW293" s="420"/>
      <c r="AX293" s="420"/>
      <c r="AY293" s="420"/>
      <c r="AZ293" s="420"/>
      <c r="BB293" s="476">
        <f>BB304</f>
        <v>-3375696.7478605136</v>
      </c>
      <c r="BC293" s="476">
        <f>BC304</f>
        <v>2863128296.2018123</v>
      </c>
      <c r="BD293" s="444"/>
      <c r="BE293" s="173"/>
      <c r="BF293" s="336"/>
    </row>
    <row r="294" spans="2:58" outlineLevel="1" x14ac:dyDescent="0.35">
      <c r="C294" s="465" t="s">
        <v>921</v>
      </c>
      <c r="D294" s="466"/>
      <c r="E294" s="1308"/>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c r="AF294" s="341"/>
      <c r="AG294" s="341"/>
      <c r="AH294" s="341"/>
      <c r="AI294" s="341"/>
      <c r="AJ294" s="341"/>
      <c r="AK294" s="341"/>
      <c r="AL294" s="341"/>
      <c r="AM294" s="487"/>
      <c r="AN294" s="341"/>
      <c r="AO294" s="341"/>
      <c r="AP294" s="341"/>
      <c r="AQ294" s="341"/>
      <c r="AR294" s="341"/>
      <c r="AS294" s="1308"/>
      <c r="AT294" s="341"/>
      <c r="AU294" s="341"/>
      <c r="AV294" s="341"/>
      <c r="AW294" s="341"/>
      <c r="AX294" s="341"/>
      <c r="AY294" s="341"/>
      <c r="AZ294" s="341"/>
      <c r="BB294" s="466"/>
      <c r="BC294" s="466"/>
      <c r="BD294" s="444"/>
      <c r="BE294" s="173"/>
      <c r="BF294" s="336"/>
    </row>
    <row r="295" spans="2:58" outlineLevel="1" x14ac:dyDescent="0.35">
      <c r="B295" s="464" t="s">
        <v>125</v>
      </c>
      <c r="C295" s="465" t="s">
        <v>921</v>
      </c>
      <c r="D295" s="488">
        <f>+D291/D293</f>
        <v>1.5662715579481484E-2</v>
      </c>
      <c r="E295" s="1306"/>
      <c r="F295" s="471"/>
      <c r="G295" s="471"/>
      <c r="H295" s="471"/>
      <c r="I295" s="471"/>
      <c r="J295" s="471"/>
      <c r="K295" s="471"/>
      <c r="L295" s="471"/>
      <c r="M295" s="471"/>
      <c r="N295" s="471"/>
      <c r="O295" s="471"/>
      <c r="P295" s="471"/>
      <c r="Q295" s="471"/>
      <c r="R295" s="471"/>
      <c r="S295" s="471"/>
      <c r="T295" s="471"/>
      <c r="U295" s="471"/>
      <c r="V295" s="471"/>
      <c r="W295" s="471"/>
      <c r="X295" s="471"/>
      <c r="Y295" s="471"/>
      <c r="Z295" s="471"/>
      <c r="AA295" s="471"/>
      <c r="AB295" s="471"/>
      <c r="AC295" s="471"/>
      <c r="AD295" s="471"/>
      <c r="AE295" s="471"/>
      <c r="AF295" s="471"/>
      <c r="AG295" s="471"/>
      <c r="AH295" s="471"/>
      <c r="AI295" s="471"/>
      <c r="AJ295" s="471"/>
      <c r="AK295" s="471"/>
      <c r="AL295" s="471"/>
      <c r="AM295" s="489"/>
      <c r="AN295" s="471"/>
      <c r="AO295" s="471"/>
      <c r="AP295" s="471"/>
      <c r="AQ295" s="471"/>
      <c r="AR295" s="471"/>
      <c r="AS295" s="1306"/>
      <c r="AT295" s="471"/>
      <c r="AU295" s="471"/>
      <c r="AV295" s="471"/>
      <c r="AW295" s="471"/>
      <c r="AX295" s="471"/>
      <c r="AY295" s="471"/>
      <c r="AZ295" s="471"/>
      <c r="BB295" s="488"/>
      <c r="BC295" s="488">
        <f>+BC291/BC293</f>
        <v>1.1763140916858192E-2</v>
      </c>
      <c r="BD295" s="444"/>
      <c r="BE295" s="173"/>
      <c r="BF295" s="336"/>
    </row>
    <row r="296" spans="2:58" outlineLevel="1" x14ac:dyDescent="0.35">
      <c r="C296" s="465" t="s">
        <v>921</v>
      </c>
      <c r="D296" s="470"/>
      <c r="E296" s="1306"/>
      <c r="F296" s="471"/>
      <c r="G296" s="471"/>
      <c r="H296" s="471"/>
      <c r="I296" s="471"/>
      <c r="J296" s="471"/>
      <c r="K296" s="471"/>
      <c r="L296" s="471"/>
      <c r="M296" s="471"/>
      <c r="N296" s="471"/>
      <c r="O296" s="471"/>
      <c r="P296" s="471"/>
      <c r="Q296" s="471"/>
      <c r="R296" s="471"/>
      <c r="S296" s="471"/>
      <c r="T296" s="471"/>
      <c r="U296" s="471"/>
      <c r="V296" s="471"/>
      <c r="W296" s="471"/>
      <c r="X296" s="471"/>
      <c r="Y296" s="471"/>
      <c r="Z296" s="471"/>
      <c r="AA296" s="471"/>
      <c r="AB296" s="471"/>
      <c r="AC296" s="471"/>
      <c r="AD296" s="471"/>
      <c r="AE296" s="471"/>
      <c r="AF296" s="471"/>
      <c r="AG296" s="471"/>
      <c r="AH296" s="471"/>
      <c r="AI296" s="471"/>
      <c r="AJ296" s="471"/>
      <c r="AK296" s="471"/>
      <c r="AL296" s="471"/>
      <c r="AM296" s="472"/>
      <c r="AN296" s="471"/>
      <c r="AO296" s="471"/>
      <c r="AP296" s="471"/>
      <c r="AQ296" s="471"/>
      <c r="AR296" s="471"/>
      <c r="AS296" s="1306"/>
      <c r="AT296" s="471"/>
      <c r="AU296" s="471"/>
      <c r="AV296" s="471"/>
      <c r="AW296" s="471"/>
      <c r="AX296" s="471"/>
      <c r="AY296" s="471"/>
      <c r="AZ296" s="471"/>
      <c r="BB296" s="470"/>
      <c r="BC296" s="470"/>
      <c r="BD296" s="444"/>
      <c r="BE296" s="173"/>
      <c r="BF296" s="336"/>
    </row>
    <row r="297" spans="2:58" outlineLevel="1" x14ac:dyDescent="0.35">
      <c r="B297" s="329" t="s">
        <v>126</v>
      </c>
      <c r="C297" s="465" t="s">
        <v>921</v>
      </c>
      <c r="D297" s="470"/>
      <c r="E297" s="1306"/>
      <c r="F297" s="471"/>
      <c r="G297" s="471"/>
      <c r="H297" s="471"/>
      <c r="I297" s="471"/>
      <c r="J297" s="471"/>
      <c r="K297" s="471"/>
      <c r="L297" s="471"/>
      <c r="M297" s="471"/>
      <c r="N297" s="471"/>
      <c r="O297" s="471"/>
      <c r="P297" s="471"/>
      <c r="Q297" s="471"/>
      <c r="R297" s="471"/>
      <c r="S297" s="471"/>
      <c r="T297" s="471"/>
      <c r="U297" s="471"/>
      <c r="V297" s="471"/>
      <c r="W297" s="471"/>
      <c r="X297" s="471"/>
      <c r="Y297" s="471"/>
      <c r="Z297" s="471"/>
      <c r="AA297" s="471"/>
      <c r="AB297" s="471"/>
      <c r="AC297" s="471"/>
      <c r="AD297" s="471"/>
      <c r="AE297" s="471"/>
      <c r="AF297" s="471"/>
      <c r="AG297" s="471"/>
      <c r="AH297" s="471"/>
      <c r="AI297" s="471"/>
      <c r="AJ297" s="471"/>
      <c r="AK297" s="471"/>
      <c r="AL297" s="471"/>
      <c r="AM297" s="472"/>
      <c r="AN297" s="471"/>
      <c r="AO297" s="471"/>
      <c r="AP297" s="471"/>
      <c r="AQ297" s="471"/>
      <c r="AR297" s="471"/>
      <c r="AS297" s="1306"/>
      <c r="AT297" s="471"/>
      <c r="AU297" s="471"/>
      <c r="AV297" s="471"/>
      <c r="AW297" s="471"/>
      <c r="AX297" s="471"/>
      <c r="AY297" s="471"/>
      <c r="AZ297" s="471"/>
      <c r="BB297" s="470"/>
      <c r="BC297" s="470"/>
      <c r="BD297" s="444"/>
      <c r="BE297" s="173"/>
      <c r="BF297" s="336"/>
    </row>
    <row r="298" spans="2:58" outlineLevel="1" x14ac:dyDescent="0.35">
      <c r="B298" s="490" t="s">
        <v>20</v>
      </c>
      <c r="C298" s="465" t="s">
        <v>921</v>
      </c>
      <c r="D298" s="476">
        <f t="shared" ref="D298:D303" si="243">+BC237</f>
        <v>5800008724.6087608</v>
      </c>
      <c r="E298" s="1309"/>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f>'Common Adj'!QV17</f>
        <v>-132706230.10262708</v>
      </c>
      <c r="AE298" s="420"/>
      <c r="AF298" s="420"/>
      <c r="AG298" s="173">
        <f>'Common Adj'!$SX$28</f>
        <v>148518084.85406506</v>
      </c>
      <c r="AH298" s="173">
        <f>'Common Adj'!$SX$46</f>
        <v>53719330.550000012</v>
      </c>
      <c r="AI298" s="173">
        <f>'Common Adj'!$SX$64</f>
        <v>2437674.9908750001</v>
      </c>
      <c r="AJ298" s="173">
        <f>'Common Adj'!$SX$82</f>
        <v>67432604.695660084</v>
      </c>
      <c r="AK298" s="420"/>
      <c r="AL298" s="420"/>
      <c r="AM298" s="173"/>
      <c r="AN298" s="420"/>
      <c r="AO298" s="420"/>
      <c r="AP298" s="420"/>
      <c r="AQ298" s="420"/>
      <c r="AR298" s="420">
        <f>'Gas Adj'!CY18</f>
        <v>0</v>
      </c>
      <c r="AS298" s="1309">
        <f>'Gas Adj'!DH18</f>
        <v>0</v>
      </c>
      <c r="AT298" s="420"/>
      <c r="AU298" s="420"/>
      <c r="AV298" s="420"/>
      <c r="AW298" s="420"/>
      <c r="AX298" s="420"/>
      <c r="AY298" s="420"/>
      <c r="AZ298" s="420"/>
      <c r="BB298" s="476">
        <f t="shared" ref="BB298:BB303" si="244">SUM(E298:AZ298)</f>
        <v>139401464.98797309</v>
      </c>
      <c r="BC298" s="476">
        <f t="shared" ref="BC298:BC303" si="245">+BB298+D298</f>
        <v>5939410189.596734</v>
      </c>
      <c r="BD298" s="444"/>
      <c r="BE298" s="173"/>
      <c r="BF298" s="336"/>
    </row>
    <row r="299" spans="2:58" outlineLevel="1" x14ac:dyDescent="0.35">
      <c r="B299" s="490" t="s">
        <v>21</v>
      </c>
      <c r="C299" s="465" t="s">
        <v>921</v>
      </c>
      <c r="D299" s="470">
        <f t="shared" si="243"/>
        <v>-2520722889.248621</v>
      </c>
      <c r="E299" s="1306"/>
      <c r="F299" s="471"/>
      <c r="G299" s="471"/>
      <c r="H299" s="471"/>
      <c r="I299" s="471"/>
      <c r="J299" s="471"/>
      <c r="K299" s="471"/>
      <c r="L299" s="471"/>
      <c r="M299" s="471"/>
      <c r="N299" s="471"/>
      <c r="O299" s="471"/>
      <c r="P299" s="471"/>
      <c r="Q299" s="471"/>
      <c r="R299" s="471"/>
      <c r="S299" s="471"/>
      <c r="T299" s="471"/>
      <c r="U299" s="471"/>
      <c r="V299" s="471"/>
      <c r="W299" s="471"/>
      <c r="X299" s="471"/>
      <c r="Y299" s="471"/>
      <c r="Z299" s="471"/>
      <c r="AA299" s="471"/>
      <c r="AB299" s="471"/>
      <c r="AC299" s="471"/>
      <c r="AD299" s="471">
        <f>'Common Adj'!QV18</f>
        <v>132706230.10262708</v>
      </c>
      <c r="AE299" s="471">
        <f>'Common Adj'!RN34</f>
        <v>-255077277.02818441</v>
      </c>
      <c r="AF299" s="471">
        <f>'Common Adj'!SF33</f>
        <v>1154341.1600000001</v>
      </c>
      <c r="AG299" s="472">
        <f>'Common Adj'!$SX$29</f>
        <v>-23582994.780954998</v>
      </c>
      <c r="AH299" s="472">
        <f>'Common Adj'!$SX$47</f>
        <v>-9046873.4099999983</v>
      </c>
      <c r="AI299" s="472">
        <f>'Common Adj'!$SX$65</f>
        <v>-492049.07124999998</v>
      </c>
      <c r="AJ299" s="472">
        <f>'Common Adj'!$SX$83</f>
        <v>-19967157.574074995</v>
      </c>
      <c r="AK299" s="471"/>
      <c r="AL299" s="471"/>
      <c r="AM299" s="481"/>
      <c r="AN299" s="471">
        <f>'Common Adj'!VV21</f>
        <v>0</v>
      </c>
      <c r="AO299" s="471"/>
      <c r="AP299" s="471"/>
      <c r="AQ299" s="471"/>
      <c r="AR299" s="471">
        <f>'Gas Adj'!CY19+'Gas Adj'!CY20</f>
        <v>1097259.3660379963</v>
      </c>
      <c r="AS299" s="1306">
        <f>'Gas Adj'!DH19+'Gas Adj'!DH20</f>
        <v>0</v>
      </c>
      <c r="AT299" s="415"/>
      <c r="AU299" s="471"/>
      <c r="AV299" s="471"/>
      <c r="AW299" s="471"/>
      <c r="AX299" s="471"/>
      <c r="AY299" s="471"/>
      <c r="AZ299" s="471"/>
      <c r="BB299" s="470">
        <f t="shared" si="244"/>
        <v>-173208521.23579931</v>
      </c>
      <c r="BC299" s="470">
        <f t="shared" si="245"/>
        <v>-2693931410.4844203</v>
      </c>
      <c r="BD299" s="444"/>
      <c r="BE299" s="173"/>
      <c r="BF299" s="336"/>
    </row>
    <row r="300" spans="2:58" outlineLevel="1" x14ac:dyDescent="0.35">
      <c r="B300" s="329" t="s">
        <v>127</v>
      </c>
      <c r="C300" s="465" t="s">
        <v>921</v>
      </c>
      <c r="D300" s="470">
        <f t="shared" si="243"/>
        <v>10700572.893702809</v>
      </c>
      <c r="E300" s="1306"/>
      <c r="F300" s="471"/>
      <c r="G300" s="471"/>
      <c r="H300" s="471"/>
      <c r="I300" s="471"/>
      <c r="J300" s="471"/>
      <c r="K300" s="471"/>
      <c r="L300" s="471"/>
      <c r="M300" s="471"/>
      <c r="N300" s="471"/>
      <c r="O300" s="471"/>
      <c r="P300" s="471"/>
      <c r="Q300" s="471"/>
      <c r="R300" s="471"/>
      <c r="S300" s="471"/>
      <c r="T300" s="471"/>
      <c r="U300" s="471"/>
      <c r="V300" s="471"/>
      <c r="W300" s="471"/>
      <c r="X300" s="471"/>
      <c r="Y300" s="471"/>
      <c r="Z300" s="471"/>
      <c r="AA300" s="471"/>
      <c r="AB300" s="471"/>
      <c r="AC300" s="471"/>
      <c r="AD300" s="471"/>
      <c r="AE300" s="471"/>
      <c r="AF300" s="471">
        <f>'Common Adj'!SF34</f>
        <v>0</v>
      </c>
      <c r="AG300" s="472"/>
      <c r="AH300" s="472"/>
      <c r="AI300" s="472"/>
      <c r="AJ300" s="472"/>
      <c r="AK300" s="471"/>
      <c r="AL300" s="471">
        <f>'Common Adj'!VC17</f>
        <v>0</v>
      </c>
      <c r="AM300" s="481"/>
      <c r="AO300" s="471"/>
      <c r="AP300" s="471"/>
      <c r="AQ300" s="471">
        <f>'Gas Adj'!CG25</f>
        <v>-6604602.5850778967</v>
      </c>
      <c r="AR300" s="471"/>
      <c r="AS300" s="1306"/>
      <c r="AT300" s="415"/>
      <c r="AU300" s="471"/>
      <c r="AV300" s="471"/>
      <c r="AW300" s="471"/>
      <c r="AX300" s="471"/>
      <c r="AY300" s="471"/>
      <c r="AZ300" s="471"/>
      <c r="BB300" s="470">
        <f t="shared" si="244"/>
        <v>-6604602.5850778967</v>
      </c>
      <c r="BC300" s="470">
        <f t="shared" si="245"/>
        <v>4095970.3086249121</v>
      </c>
      <c r="BD300" s="444"/>
      <c r="BE300" s="173"/>
      <c r="BF300" s="336"/>
    </row>
    <row r="301" spans="2:58" outlineLevel="1" x14ac:dyDescent="0.35">
      <c r="B301" s="329" t="s">
        <v>128</v>
      </c>
      <c r="C301" s="465" t="s">
        <v>921</v>
      </c>
      <c r="D301" s="470">
        <f t="shared" si="243"/>
        <v>-541309885.01676476</v>
      </c>
      <c r="E301" s="1306"/>
      <c r="F301" s="471"/>
      <c r="G301" s="471"/>
      <c r="H301" s="471"/>
      <c r="I301" s="471"/>
      <c r="J301" s="471"/>
      <c r="K301" s="471"/>
      <c r="L301" s="471"/>
      <c r="M301" s="471"/>
      <c r="N301" s="471"/>
      <c r="O301" s="471"/>
      <c r="P301" s="471"/>
      <c r="Q301" s="471"/>
      <c r="R301" s="471"/>
      <c r="S301" s="471"/>
      <c r="T301" s="471"/>
      <c r="U301" s="471"/>
      <c r="V301" s="471"/>
      <c r="W301" s="471"/>
      <c r="X301" s="471"/>
      <c r="Y301" s="471"/>
      <c r="Z301" s="471"/>
      <c r="AA301" s="471"/>
      <c r="AB301" s="471"/>
      <c r="AC301" s="471"/>
      <c r="AD301" s="471"/>
      <c r="AE301" s="471">
        <f>'Common Adj'!RN35</f>
        <v>42934633.668347955</v>
      </c>
      <c r="AF301" s="471"/>
      <c r="AG301" s="472">
        <f>'Common Adj'!$SX$30</f>
        <v>-2527668.855455</v>
      </c>
      <c r="AH301" s="472">
        <f>'Common Adj'!$SX$48</f>
        <v>-1060799.5899999999</v>
      </c>
      <c r="AI301" s="472">
        <f>'Common Adj'!$SX$66</f>
        <v>-170827.32979499997</v>
      </c>
      <c r="AJ301" s="472">
        <f>'Common Adj'!$SX$84</f>
        <v>-3360920.1487800009</v>
      </c>
      <c r="AK301" s="471"/>
      <c r="AL301" s="471">
        <f>'Common Adj'!VC18</f>
        <v>0</v>
      </c>
      <c r="AM301" s="347"/>
      <c r="AN301" s="471">
        <f>'Common Adj'!VV22</f>
        <v>0</v>
      </c>
      <c r="AO301" s="471"/>
      <c r="AP301" s="471"/>
      <c r="AQ301" s="471">
        <f>'Gas Adj'!CG26</f>
        <v>1166614.2709085923</v>
      </c>
      <c r="AR301" s="471">
        <f>'Gas Adj'!CY21</f>
        <v>54930.069817058044</v>
      </c>
      <c r="AS301" s="1306">
        <f>'Gas Adj'!DH21</f>
        <v>0</v>
      </c>
      <c r="AT301" s="356"/>
      <c r="AU301" s="471"/>
      <c r="AV301" s="471"/>
      <c r="AW301" s="471"/>
      <c r="AX301" s="471"/>
      <c r="AY301" s="471"/>
      <c r="AZ301" s="471"/>
      <c r="BB301" s="470">
        <f t="shared" si="244"/>
        <v>37035962.085043602</v>
      </c>
      <c r="BC301" s="470">
        <f t="shared" si="245"/>
        <v>-504273922.93172115</v>
      </c>
      <c r="BD301" s="444"/>
      <c r="BE301" s="173"/>
      <c r="BF301" s="336"/>
    </row>
    <row r="302" spans="2:58" outlineLevel="1" x14ac:dyDescent="0.35">
      <c r="B302" s="329" t="s">
        <v>129</v>
      </c>
      <c r="C302" s="465" t="s">
        <v>921</v>
      </c>
      <c r="D302" s="491">
        <f t="shared" si="243"/>
        <v>119028167.29199991</v>
      </c>
      <c r="E302" s="1306"/>
      <c r="F302" s="471"/>
      <c r="G302" s="471"/>
      <c r="H302" s="471"/>
      <c r="I302" s="471"/>
      <c r="J302" s="471"/>
      <c r="K302" s="471"/>
      <c r="L302" s="471"/>
      <c r="M302" s="471"/>
      <c r="N302" s="471"/>
      <c r="O302" s="471"/>
      <c r="P302" s="471"/>
      <c r="Q302" s="471"/>
      <c r="R302" s="471"/>
      <c r="S302" s="471"/>
      <c r="T302" s="471"/>
      <c r="U302" s="471"/>
      <c r="V302" s="471"/>
      <c r="W302" s="471"/>
      <c r="X302" s="471"/>
      <c r="Y302" s="471"/>
      <c r="Z302" s="471"/>
      <c r="AA302" s="471"/>
      <c r="AB302" s="471"/>
      <c r="AC302" s="471"/>
      <c r="AD302" s="471"/>
      <c r="AE302" s="471"/>
      <c r="AF302" s="471"/>
      <c r="AG302" s="471"/>
      <c r="AH302" s="471"/>
      <c r="AI302" s="471"/>
      <c r="AJ302" s="471"/>
      <c r="AK302" s="471"/>
      <c r="AL302" s="471"/>
      <c r="AM302" s="481"/>
      <c r="AN302" s="471"/>
      <c r="AO302" s="471"/>
      <c r="AP302" s="471"/>
      <c r="AQ302" s="471"/>
      <c r="AR302" s="471"/>
      <c r="AS302" s="1306"/>
      <c r="AT302" s="471"/>
      <c r="AU302" s="471"/>
      <c r="AV302" s="471"/>
      <c r="AW302" s="471"/>
      <c r="AX302" s="471"/>
      <c r="AY302" s="471"/>
      <c r="AZ302" s="471"/>
      <c r="BB302" s="492">
        <f t="shared" si="244"/>
        <v>0</v>
      </c>
      <c r="BC302" s="470">
        <f t="shared" si="245"/>
        <v>119028167.29199991</v>
      </c>
      <c r="BD302" s="444"/>
      <c r="BE302" s="173"/>
      <c r="BF302" s="336"/>
    </row>
    <row r="303" spans="2:58" outlineLevel="1" x14ac:dyDescent="0.35">
      <c r="B303" s="329" t="s">
        <v>130</v>
      </c>
      <c r="C303" s="465" t="s">
        <v>921</v>
      </c>
      <c r="D303" s="470">
        <f t="shared" si="243"/>
        <v>-1200697.579405</v>
      </c>
      <c r="E303" s="1306"/>
      <c r="F303" s="471"/>
      <c r="G303" s="471"/>
      <c r="H303" s="471"/>
      <c r="I303" s="471"/>
      <c r="J303" s="471"/>
      <c r="K303" s="471"/>
      <c r="L303" s="471"/>
      <c r="M303" s="471"/>
      <c r="N303" s="471"/>
      <c r="O303" s="471"/>
      <c r="P303" s="471"/>
      <c r="Q303" s="471"/>
      <c r="R303" s="471"/>
      <c r="S303" s="471"/>
      <c r="T303" s="471"/>
      <c r="U303" s="471"/>
      <c r="V303" s="471"/>
      <c r="W303" s="471"/>
      <c r="X303" s="471"/>
      <c r="Y303" s="471"/>
      <c r="Z303" s="471"/>
      <c r="AA303" s="471"/>
      <c r="AB303" s="471"/>
      <c r="AC303" s="471"/>
      <c r="AD303" s="471"/>
      <c r="AE303" s="471"/>
      <c r="AF303" s="471"/>
      <c r="AG303" s="471"/>
      <c r="AH303" s="471"/>
      <c r="AI303" s="471"/>
      <c r="AJ303" s="471"/>
      <c r="AK303" s="471"/>
      <c r="AL303" s="471"/>
      <c r="AM303" s="481"/>
      <c r="AN303" s="471"/>
      <c r="AO303" s="471"/>
      <c r="AP303" s="471"/>
      <c r="AQ303" s="471"/>
      <c r="AR303" s="471"/>
      <c r="AS303" s="1306"/>
      <c r="AT303" s="471"/>
      <c r="AU303" s="471"/>
      <c r="AV303" s="471"/>
      <c r="AW303" s="471"/>
      <c r="AX303" s="471"/>
      <c r="AY303" s="471"/>
      <c r="AZ303" s="471"/>
      <c r="BB303" s="470">
        <f t="shared" si="244"/>
        <v>0</v>
      </c>
      <c r="BC303" s="470">
        <f t="shared" si="245"/>
        <v>-1200697.579405</v>
      </c>
      <c r="BD303" s="444"/>
      <c r="BE303" s="173"/>
      <c r="BF303" s="336"/>
    </row>
    <row r="304" spans="2:58" ht="15" outlineLevel="1" thickBot="1" x14ac:dyDescent="0.4">
      <c r="B304" s="329" t="s">
        <v>22</v>
      </c>
      <c r="C304" s="465" t="s">
        <v>921</v>
      </c>
      <c r="D304" s="493">
        <f>SUM(D298:D303)</f>
        <v>2866503992.9496732</v>
      </c>
      <c r="E304" s="1314">
        <f t="shared" ref="E304:AR304" si="246">SUM(E298:E303)</f>
        <v>0</v>
      </c>
      <c r="F304" s="519">
        <f t="shared" si="246"/>
        <v>0</v>
      </c>
      <c r="G304" s="519">
        <f t="shared" si="246"/>
        <v>0</v>
      </c>
      <c r="H304" s="519">
        <f t="shared" si="246"/>
        <v>0</v>
      </c>
      <c r="I304" s="519">
        <f t="shared" si="246"/>
        <v>0</v>
      </c>
      <c r="J304" s="519">
        <f t="shared" si="246"/>
        <v>0</v>
      </c>
      <c r="K304" s="519">
        <f t="shared" si="246"/>
        <v>0</v>
      </c>
      <c r="L304" s="519">
        <f t="shared" si="246"/>
        <v>0</v>
      </c>
      <c r="M304" s="519">
        <f t="shared" si="246"/>
        <v>0</v>
      </c>
      <c r="N304" s="519">
        <f t="shared" si="246"/>
        <v>0</v>
      </c>
      <c r="O304" s="519">
        <f t="shared" si="246"/>
        <v>0</v>
      </c>
      <c r="P304" s="519">
        <f t="shared" si="246"/>
        <v>0</v>
      </c>
      <c r="Q304" s="519">
        <f t="shared" si="246"/>
        <v>0</v>
      </c>
      <c r="R304" s="519">
        <f t="shared" si="246"/>
        <v>0</v>
      </c>
      <c r="S304" s="519">
        <f t="shared" si="246"/>
        <v>0</v>
      </c>
      <c r="T304" s="519">
        <f t="shared" si="246"/>
        <v>0</v>
      </c>
      <c r="U304" s="519">
        <f t="shared" si="246"/>
        <v>0</v>
      </c>
      <c r="V304" s="519">
        <f t="shared" si="246"/>
        <v>0</v>
      </c>
      <c r="W304" s="519">
        <f t="shared" si="246"/>
        <v>0</v>
      </c>
      <c r="X304" s="519">
        <f t="shared" si="246"/>
        <v>0</v>
      </c>
      <c r="Y304" s="519">
        <f t="shared" si="246"/>
        <v>0</v>
      </c>
      <c r="Z304" s="519">
        <f t="shared" si="246"/>
        <v>0</v>
      </c>
      <c r="AA304" s="519">
        <f t="shared" si="246"/>
        <v>0</v>
      </c>
      <c r="AB304" s="519">
        <f t="shared" si="246"/>
        <v>0</v>
      </c>
      <c r="AC304" s="519">
        <f t="shared" si="246"/>
        <v>0</v>
      </c>
      <c r="AD304" s="519">
        <f t="shared" ref="AD304" si="247">SUM(AD298:AD303)</f>
        <v>0</v>
      </c>
      <c r="AE304" s="519">
        <f t="shared" si="246"/>
        <v>-212142643.35983646</v>
      </c>
      <c r="AF304" s="519">
        <f t="shared" si="246"/>
        <v>1154341.1600000001</v>
      </c>
      <c r="AG304" s="519">
        <f t="shared" si="246"/>
        <v>122407421.21765506</v>
      </c>
      <c r="AH304" s="519">
        <f t="shared" ref="AH304:AJ304" si="248">SUM(AH298:AH303)</f>
        <v>43611657.550000012</v>
      </c>
      <c r="AI304" s="519">
        <f t="shared" si="248"/>
        <v>1774798.5898300002</v>
      </c>
      <c r="AJ304" s="519">
        <f t="shared" si="248"/>
        <v>44104526.972805083</v>
      </c>
      <c r="AK304" s="519">
        <f t="shared" si="246"/>
        <v>0</v>
      </c>
      <c r="AL304" s="519">
        <f t="shared" si="246"/>
        <v>0</v>
      </c>
      <c r="AM304" s="494">
        <f t="shared" ref="AM304:AO304" si="249">SUM(AM298:AM303)</f>
        <v>0</v>
      </c>
      <c r="AN304" s="494">
        <f t="shared" si="249"/>
        <v>0</v>
      </c>
      <c r="AO304" s="494">
        <f t="shared" si="249"/>
        <v>0</v>
      </c>
      <c r="AP304" s="519">
        <f t="shared" si="246"/>
        <v>0</v>
      </c>
      <c r="AQ304" s="519">
        <f t="shared" si="246"/>
        <v>-5437988.3141693044</v>
      </c>
      <c r="AR304" s="519">
        <f t="shared" si="246"/>
        <v>1152189.4358550543</v>
      </c>
      <c r="AS304" s="1314">
        <f t="shared" ref="AS304" si="250">SUM(AS298:AS303)</f>
        <v>0</v>
      </c>
      <c r="AT304" s="519"/>
      <c r="AU304" s="519"/>
      <c r="AV304" s="519"/>
      <c r="AW304" s="519"/>
      <c r="AX304" s="519"/>
      <c r="AY304" s="519"/>
      <c r="AZ304" s="519"/>
      <c r="BB304" s="493">
        <f>SUM(BB298:BB303)</f>
        <v>-3375696.7478605136</v>
      </c>
      <c r="BC304" s="493">
        <f>SUM(BC298:BC303)</f>
        <v>2863128296.2018123</v>
      </c>
      <c r="BD304" s="444"/>
      <c r="BE304" s="173"/>
      <c r="BF304" s="336"/>
    </row>
    <row r="305" spans="1:58" ht="15" outlineLevel="1" thickTop="1" x14ac:dyDescent="0.35">
      <c r="C305" s="465" t="s">
        <v>921</v>
      </c>
      <c r="D305" s="466"/>
      <c r="E305" s="1308"/>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c r="AF305" s="341"/>
      <c r="AG305" s="341"/>
      <c r="AH305" s="341"/>
      <c r="AI305" s="341"/>
      <c r="AJ305" s="341"/>
      <c r="AK305" s="341"/>
      <c r="AL305" s="341"/>
      <c r="AN305" s="341"/>
      <c r="AO305" s="341"/>
      <c r="AP305" s="341"/>
      <c r="AQ305" s="341"/>
      <c r="AR305" s="341"/>
      <c r="AS305" s="1308"/>
      <c r="AT305" s="341"/>
      <c r="AU305" s="341"/>
      <c r="AV305" s="341"/>
      <c r="AW305" s="341"/>
      <c r="AX305" s="341"/>
      <c r="AY305" s="341"/>
      <c r="AZ305" s="341"/>
      <c r="BB305" s="466"/>
      <c r="BC305" s="466"/>
      <c r="BD305" s="444"/>
      <c r="BE305" s="173"/>
      <c r="BF305" s="336"/>
    </row>
    <row r="306" spans="1:58" outlineLevel="1" x14ac:dyDescent="0.35">
      <c r="B306" s="329" t="s">
        <v>29</v>
      </c>
      <c r="C306" s="465" t="s">
        <v>921</v>
      </c>
      <c r="D306" s="496">
        <f>+'Def, COC, ConvF DPK-7 '!C13</f>
        <v>7.3575000000000002E-2</v>
      </c>
      <c r="E306" s="1315">
        <f>+'Def, COC, ConvF DPK-7 '!D13</f>
        <v>7.3700000000000002E-2</v>
      </c>
      <c r="F306" s="520">
        <f>+'Def, COC, ConvF DPK-7 '!D13</f>
        <v>7.3700000000000002E-2</v>
      </c>
      <c r="G306" s="520">
        <f>+'Def, COC, ConvF DPK-7 '!D13</f>
        <v>7.3700000000000002E-2</v>
      </c>
      <c r="H306" s="520">
        <f>+'Def, COC, ConvF DPK-7 '!D13</f>
        <v>7.3700000000000002E-2</v>
      </c>
      <c r="I306" s="520">
        <f>+'Def, COC, ConvF DPK-7 '!D13</f>
        <v>7.3700000000000002E-2</v>
      </c>
      <c r="J306" s="520">
        <f>+'Def, COC, ConvF DPK-7 '!D13</f>
        <v>7.3700000000000002E-2</v>
      </c>
      <c r="K306" s="520">
        <f>+'Def, COC, ConvF DPK-7 '!D13</f>
        <v>7.3700000000000002E-2</v>
      </c>
      <c r="L306" s="520">
        <f>+'Def, COC, ConvF DPK-7 '!D13</f>
        <v>7.3700000000000002E-2</v>
      </c>
      <c r="M306" s="520">
        <f>+'Def, COC, ConvF DPK-7 '!D13</f>
        <v>7.3700000000000002E-2</v>
      </c>
      <c r="N306" s="520">
        <f>+'Def, COC, ConvF DPK-7 '!D13</f>
        <v>7.3700000000000002E-2</v>
      </c>
      <c r="O306" s="520">
        <f>+'Def, COC, ConvF DPK-7 '!D13</f>
        <v>7.3700000000000002E-2</v>
      </c>
      <c r="P306" s="520">
        <f>+'Def, COC, ConvF DPK-7 '!D13</f>
        <v>7.3700000000000002E-2</v>
      </c>
      <c r="Q306" s="520">
        <f>+'Def, COC, ConvF DPK-7 '!D13</f>
        <v>7.3700000000000002E-2</v>
      </c>
      <c r="R306" s="520">
        <f>+'Def, COC, ConvF DPK-7 '!D13</f>
        <v>7.3700000000000002E-2</v>
      </c>
      <c r="S306" s="520">
        <f>+'Def, COC, ConvF DPK-7 '!D13</f>
        <v>7.3700000000000002E-2</v>
      </c>
      <c r="T306" s="520">
        <f>+'Def, COC, ConvF DPK-7 '!D13</f>
        <v>7.3700000000000002E-2</v>
      </c>
      <c r="U306" s="520">
        <f>+'Def, COC, ConvF DPK-7 '!D13</f>
        <v>7.3700000000000002E-2</v>
      </c>
      <c r="V306" s="520">
        <f>+'Def, COC, ConvF DPK-7 '!D13</f>
        <v>7.3700000000000002E-2</v>
      </c>
      <c r="W306" s="520">
        <f>+'Def, COC, ConvF DPK-7 '!D13</f>
        <v>7.3700000000000002E-2</v>
      </c>
      <c r="X306" s="520">
        <f>+'Def, COC, ConvF DPK-7 '!D13</f>
        <v>7.3700000000000002E-2</v>
      </c>
      <c r="Y306" s="520">
        <f>+'Def, COC, ConvF DPK-7 '!D13</f>
        <v>7.3700000000000002E-2</v>
      </c>
      <c r="Z306" s="520">
        <f>+'Def, COC, ConvF DPK-7 '!D13</f>
        <v>7.3700000000000002E-2</v>
      </c>
      <c r="AA306" s="520">
        <f>+'Def, COC, ConvF DPK-7 '!D13</f>
        <v>7.3700000000000002E-2</v>
      </c>
      <c r="AB306" s="520">
        <f>+'Def, COC, ConvF DPK-7 '!D13</f>
        <v>7.3700000000000002E-2</v>
      </c>
      <c r="AC306" s="520">
        <f>+'Def, COC, ConvF DPK-7 '!D13</f>
        <v>7.3700000000000002E-2</v>
      </c>
      <c r="AD306" s="520">
        <f>+'Def, COC, ConvF DPK-7 '!D13</f>
        <v>7.3700000000000002E-2</v>
      </c>
      <c r="AE306" s="520">
        <f>+'Def, COC, ConvF DPK-7 '!D13</f>
        <v>7.3700000000000002E-2</v>
      </c>
      <c r="AF306" s="520">
        <f>+'Def, COC, ConvF DPK-7 '!D13</f>
        <v>7.3700000000000002E-2</v>
      </c>
      <c r="AG306" s="520">
        <f>+'Def, COC, ConvF DPK-7 '!$D$13</f>
        <v>7.3700000000000002E-2</v>
      </c>
      <c r="AH306" s="520">
        <f>+'Def, COC, ConvF DPK-7 '!$D$13</f>
        <v>7.3700000000000002E-2</v>
      </c>
      <c r="AI306" s="520">
        <f>+'Def, COC, ConvF DPK-7 '!$D$13</f>
        <v>7.3700000000000002E-2</v>
      </c>
      <c r="AJ306" s="520">
        <f>+'Def, COC, ConvF DPK-7 '!$D$13</f>
        <v>7.3700000000000002E-2</v>
      </c>
      <c r="AK306" s="520">
        <f>+'Def, COC, ConvF DPK-7 '!$D$13</f>
        <v>7.3700000000000002E-2</v>
      </c>
      <c r="AL306" s="520">
        <f>+'Def, COC, ConvF DPK-7 '!$D$13</f>
        <v>7.3700000000000002E-2</v>
      </c>
      <c r="AM306" s="520">
        <f>+'Def, COC, ConvF DPK-7 '!$D$13</f>
        <v>7.3700000000000002E-2</v>
      </c>
      <c r="AN306" s="520">
        <f>+'Def, COC, ConvF DPK-7 '!$D$13</f>
        <v>7.3700000000000002E-2</v>
      </c>
      <c r="AO306" s="520">
        <f>+'Def, COC, ConvF DPK-7 '!$D$13</f>
        <v>7.3700000000000002E-2</v>
      </c>
      <c r="AP306" s="520">
        <f>+'Def, COC, ConvF DPK-7 '!D13</f>
        <v>7.3700000000000002E-2</v>
      </c>
      <c r="AQ306" s="520">
        <f>+'Def, COC, ConvF DPK-7 '!D13</f>
        <v>7.3700000000000002E-2</v>
      </c>
      <c r="AR306" s="520">
        <f>+'Def, COC, ConvF DPK-7 '!D13</f>
        <v>7.3700000000000002E-2</v>
      </c>
      <c r="AS306" s="1315">
        <f>+AR306</f>
        <v>7.3700000000000002E-2</v>
      </c>
      <c r="AT306" s="520"/>
      <c r="AU306" s="520"/>
      <c r="AV306" s="520"/>
      <c r="AW306" s="520"/>
      <c r="AX306" s="520"/>
      <c r="AY306" s="520"/>
      <c r="AZ306" s="520"/>
      <c r="BB306" s="496">
        <f>+'Def, COC, ConvF DPK-7 '!C13</f>
        <v>7.3575000000000002E-2</v>
      </c>
      <c r="BC306" s="496">
        <f>+'Def, COC, ConvF DPK-7 '!C13</f>
        <v>7.3575000000000002E-2</v>
      </c>
      <c r="BD306" s="444"/>
      <c r="BE306" s="173"/>
      <c r="BF306" s="336"/>
    </row>
    <row r="307" spans="1:58" outlineLevel="1" x14ac:dyDescent="0.35">
      <c r="B307" s="329" t="s">
        <v>23</v>
      </c>
      <c r="C307" s="465" t="s">
        <v>921</v>
      </c>
      <c r="D307" s="466">
        <f>+'Def, COC, ConvF DPK-7 '!P20</f>
        <v>0.75421300000000002</v>
      </c>
      <c r="E307" s="1308">
        <f>+'Def, COC, ConvF DPK-7 '!P20</f>
        <v>0.75421300000000002</v>
      </c>
      <c r="F307" s="341">
        <f>+'Def, COC, ConvF DPK-7 '!P20</f>
        <v>0.75421300000000002</v>
      </c>
      <c r="G307" s="341">
        <f>+'Def, COC, ConvF DPK-7 '!P20</f>
        <v>0.75421300000000002</v>
      </c>
      <c r="H307" s="341">
        <f>+'Def, COC, ConvF DPK-7 '!P20</f>
        <v>0.75421300000000002</v>
      </c>
      <c r="I307" s="341">
        <f>+'Def, COC, ConvF DPK-7 '!P20</f>
        <v>0.75421300000000002</v>
      </c>
      <c r="J307" s="341">
        <f>+'Def, COC, ConvF DPK-7 '!P20</f>
        <v>0.75421300000000002</v>
      </c>
      <c r="K307" s="341">
        <f>+'Def, COC, ConvF DPK-7 '!P20</f>
        <v>0.75421300000000002</v>
      </c>
      <c r="L307" s="341">
        <f>+'Def, COC, ConvF DPK-7 '!P20</f>
        <v>0.75421300000000002</v>
      </c>
      <c r="M307" s="341">
        <f>+'Def, COC, ConvF DPK-7 '!P20</f>
        <v>0.75421300000000002</v>
      </c>
      <c r="N307" s="341">
        <f>+'Def, COC, ConvF DPK-7 '!P20</f>
        <v>0.75421300000000002</v>
      </c>
      <c r="O307" s="341">
        <f>+'Def, COC, ConvF DPK-7 '!P20</f>
        <v>0.75421300000000002</v>
      </c>
      <c r="P307" s="341">
        <f>+'Def, COC, ConvF DPK-7 '!P20</f>
        <v>0.75421300000000002</v>
      </c>
      <c r="Q307" s="341">
        <f>+'Def, COC, ConvF DPK-7 '!P20</f>
        <v>0.75421300000000002</v>
      </c>
      <c r="R307" s="341">
        <f>+'Def, COC, ConvF DPK-7 '!P20</f>
        <v>0.75421300000000002</v>
      </c>
      <c r="S307" s="341">
        <f>+'Def, COC, ConvF DPK-7 '!P20</f>
        <v>0.75421300000000002</v>
      </c>
      <c r="T307" s="341">
        <f>+'Def, COC, ConvF DPK-7 '!P20</f>
        <v>0.75421300000000002</v>
      </c>
      <c r="U307" s="341">
        <f>+'Def, COC, ConvF DPK-7 '!P20</f>
        <v>0.75421300000000002</v>
      </c>
      <c r="V307" s="341">
        <f>+'Def, COC, ConvF DPK-7 '!P20</f>
        <v>0.75421300000000002</v>
      </c>
      <c r="W307" s="341">
        <f>+'Def, COC, ConvF DPK-7 '!P20</f>
        <v>0.75421300000000002</v>
      </c>
      <c r="X307" s="341">
        <f>+'Def, COC, ConvF DPK-7 '!P20</f>
        <v>0.75421300000000002</v>
      </c>
      <c r="Y307" s="341">
        <f>+'Def, COC, ConvF DPK-7 '!P20</f>
        <v>0.75421300000000002</v>
      </c>
      <c r="Z307" s="341">
        <f>+'Def, COC, ConvF DPK-7 '!P20</f>
        <v>0.75421300000000002</v>
      </c>
      <c r="AA307" s="341">
        <f>+'Def, COC, ConvF DPK-7 '!P20</f>
        <v>0.75421300000000002</v>
      </c>
      <c r="AB307" s="341">
        <f>+'Def, COC, ConvF DPK-7 '!P20</f>
        <v>0.75421300000000002</v>
      </c>
      <c r="AC307" s="341">
        <f>+'Def, COC, ConvF DPK-7 '!P20</f>
        <v>0.75421300000000002</v>
      </c>
      <c r="AD307" s="341">
        <f>+'Def, COC, ConvF DPK-7 '!P20</f>
        <v>0.75421300000000002</v>
      </c>
      <c r="AE307" s="341">
        <f>+'Def, COC, ConvF DPK-7 '!P20</f>
        <v>0.75421300000000002</v>
      </c>
      <c r="AF307" s="341">
        <f>+'Def, COC, ConvF DPK-7 '!P20</f>
        <v>0.75421300000000002</v>
      </c>
      <c r="AG307" s="341">
        <f>+'Def, COC, ConvF DPK-7 '!$P$20</f>
        <v>0.75421300000000002</v>
      </c>
      <c r="AH307" s="341">
        <f>+'Def, COC, ConvF DPK-7 '!$P$20</f>
        <v>0.75421300000000002</v>
      </c>
      <c r="AI307" s="341">
        <f>+'Def, COC, ConvF DPK-7 '!$P$20</f>
        <v>0.75421300000000002</v>
      </c>
      <c r="AJ307" s="341">
        <f>+'Def, COC, ConvF DPK-7 '!$P$20</f>
        <v>0.75421300000000002</v>
      </c>
      <c r="AK307" s="341">
        <f>+'Def, COC, ConvF DPK-7 '!$P$20</f>
        <v>0.75421300000000002</v>
      </c>
      <c r="AL307" s="341">
        <f>+'Def, COC, ConvF DPK-7 '!$P$20</f>
        <v>0.75421300000000002</v>
      </c>
      <c r="AM307" s="341">
        <f>+'Def, COC, ConvF DPK-7 '!$P$20</f>
        <v>0.75421300000000002</v>
      </c>
      <c r="AN307" s="341">
        <f>+'Def, COC, ConvF DPK-7 '!$P$20</f>
        <v>0.75421300000000002</v>
      </c>
      <c r="AO307" s="341">
        <f>+'Def, COC, ConvF DPK-7 '!$P$20</f>
        <v>0.75421300000000002</v>
      </c>
      <c r="AP307" s="341">
        <f>+'Def, COC, ConvF DPK-7 '!P20</f>
        <v>0.75421300000000002</v>
      </c>
      <c r="AQ307" s="341">
        <f>+'Def, COC, ConvF DPK-7 '!P20</f>
        <v>0.75421300000000002</v>
      </c>
      <c r="AR307" s="341">
        <f>+'Def, COC, ConvF DPK-7 '!P20</f>
        <v>0.75421300000000002</v>
      </c>
      <c r="AS307" s="1308">
        <f>+'Def, COC, ConvF DPK-7 '!P18</f>
        <v>0.95469999999999999</v>
      </c>
      <c r="AT307" s="341"/>
      <c r="AU307" s="341"/>
      <c r="AV307" s="341"/>
      <c r="AW307" s="341"/>
      <c r="AX307" s="341"/>
      <c r="AY307" s="341"/>
      <c r="AZ307" s="341"/>
      <c r="BB307" s="466">
        <f>+'Def, COC, ConvF DPK-7 '!P20</f>
        <v>0.75421300000000002</v>
      </c>
      <c r="BC307" s="466">
        <f>+'Def, COC, ConvF DPK-7 '!P20</f>
        <v>0.75421300000000002</v>
      </c>
      <c r="BD307" s="444"/>
      <c r="BE307" s="173"/>
      <c r="BF307" s="336"/>
    </row>
    <row r="308" spans="1:58" outlineLevel="1" x14ac:dyDescent="0.35">
      <c r="B308" s="329" t="s">
        <v>186</v>
      </c>
      <c r="C308" s="465" t="s">
        <v>921</v>
      </c>
      <c r="D308" s="470">
        <f>+D291-(D304*D306)</f>
        <v>-166005794.53225347</v>
      </c>
      <c r="E308" s="1316">
        <f t="shared" ref="E308:AR308" si="251">+E291-(E304*E306)</f>
        <v>-367107.89825900004</v>
      </c>
      <c r="F308" s="356">
        <f t="shared" si="251"/>
        <v>0</v>
      </c>
      <c r="G308" s="356">
        <f t="shared" si="251"/>
        <v>0</v>
      </c>
      <c r="H308" s="356">
        <f t="shared" si="251"/>
        <v>184598.59659993602</v>
      </c>
      <c r="I308" s="356">
        <f t="shared" si="251"/>
        <v>100756.73972158178</v>
      </c>
      <c r="J308" s="356">
        <f t="shared" si="251"/>
        <v>0</v>
      </c>
      <c r="K308" s="356">
        <f t="shared" si="251"/>
        <v>0</v>
      </c>
      <c r="L308" s="356">
        <f t="shared" si="251"/>
        <v>0</v>
      </c>
      <c r="M308" s="356">
        <f t="shared" si="251"/>
        <v>0</v>
      </c>
      <c r="N308" s="356">
        <f t="shared" si="251"/>
        <v>0</v>
      </c>
      <c r="O308" s="356">
        <f t="shared" si="251"/>
        <v>-1522.7486420287016</v>
      </c>
      <c r="P308" s="356">
        <f t="shared" si="251"/>
        <v>0</v>
      </c>
      <c r="Q308" s="356">
        <f t="shared" si="251"/>
        <v>0</v>
      </c>
      <c r="R308" s="356">
        <f t="shared" si="251"/>
        <v>0</v>
      </c>
      <c r="S308" s="356">
        <f t="shared" si="251"/>
        <v>1483149.1865527751</v>
      </c>
      <c r="T308" s="356">
        <f t="shared" si="251"/>
        <v>0</v>
      </c>
      <c r="U308" s="356">
        <f t="shared" si="251"/>
        <v>0</v>
      </c>
      <c r="V308" s="356">
        <f t="shared" si="251"/>
        <v>0</v>
      </c>
      <c r="W308" s="356">
        <f t="shared" si="251"/>
        <v>0</v>
      </c>
      <c r="X308" s="356">
        <f t="shared" si="251"/>
        <v>0</v>
      </c>
      <c r="Y308" s="356">
        <f t="shared" si="251"/>
        <v>0</v>
      </c>
      <c r="Z308" s="356">
        <f t="shared" si="251"/>
        <v>-6093010.4359589107</v>
      </c>
      <c r="AA308" s="356">
        <f t="shared" si="251"/>
        <v>0</v>
      </c>
      <c r="AB308" s="356">
        <f t="shared" si="251"/>
        <v>0</v>
      </c>
      <c r="AC308" s="356">
        <f t="shared" si="251"/>
        <v>1413394.9515225352</v>
      </c>
      <c r="AD308" s="356">
        <f t="shared" ref="AD308" si="252">+AD291-(AD304*AD306)</f>
        <v>0</v>
      </c>
      <c r="AE308" s="356">
        <f t="shared" si="251"/>
        <v>22760180.740740977</v>
      </c>
      <c r="AF308" s="356">
        <f t="shared" si="251"/>
        <v>412029.23060800089</v>
      </c>
      <c r="AG308" s="356">
        <f t="shared" si="251"/>
        <v>-17378287.539236579</v>
      </c>
      <c r="AH308" s="356">
        <f t="shared" ref="AH308:AJ308" si="253">+AH291-(AH304*AH306)</f>
        <v>-5026821.7663349994</v>
      </c>
      <c r="AI308" s="356">
        <f t="shared" si="253"/>
        <v>-323378.97898487106</v>
      </c>
      <c r="AJ308" s="356">
        <f t="shared" si="253"/>
        <v>-9843552.3280698843</v>
      </c>
      <c r="AK308" s="356">
        <f t="shared" ref="AK308:AL308" si="254">+AK291-(AK304*AK306)</f>
        <v>0</v>
      </c>
      <c r="AL308" s="356">
        <f t="shared" si="254"/>
        <v>0</v>
      </c>
      <c r="AM308" s="356">
        <f t="shared" ref="AM308:AO308" si="255">+AM291-(AM304*AM306)</f>
        <v>0</v>
      </c>
      <c r="AN308" s="356">
        <f t="shared" si="255"/>
        <v>0</v>
      </c>
      <c r="AO308" s="356">
        <f t="shared" si="255"/>
        <v>-11163.933253252708</v>
      </c>
      <c r="AP308" s="356">
        <f t="shared" si="251"/>
        <v>0</v>
      </c>
      <c r="AQ308" s="356">
        <f t="shared" si="251"/>
        <v>4974111.6866364405</v>
      </c>
      <c r="AR308" s="356">
        <f t="shared" si="251"/>
        <v>599883.20892179629</v>
      </c>
      <c r="AS308" s="1316">
        <f t="shared" ref="AS308" si="256">+AS291-(AS304*AS306)</f>
        <v>-3852325</v>
      </c>
      <c r="AT308" s="356"/>
      <c r="AU308" s="356"/>
      <c r="AV308" s="356"/>
      <c r="AW308" s="356"/>
      <c r="AX308" s="356"/>
      <c r="AY308" s="356"/>
      <c r="AZ308" s="356"/>
      <c r="BB308" s="470">
        <f>SUM(E308:AZ308)</f>
        <v>-10969066.287435483</v>
      </c>
      <c r="BC308" s="470">
        <f>+BC291-(BC304*BC306)</f>
        <v>-176975282.78178233</v>
      </c>
      <c r="BD308" s="444"/>
      <c r="BE308" s="173"/>
      <c r="BF308" s="336"/>
    </row>
    <row r="309" spans="1:58" outlineLevel="1" x14ac:dyDescent="0.35">
      <c r="B309" s="1074" t="s">
        <v>187</v>
      </c>
      <c r="C309" s="465" t="s">
        <v>921</v>
      </c>
      <c r="D309" s="470">
        <f>-D308/D307</f>
        <v>220104658.1433275</v>
      </c>
      <c r="E309" s="1316">
        <f t="shared" ref="E309:AR309" si="257">-E308/E307</f>
        <v>486743.00000000006</v>
      </c>
      <c r="F309" s="356">
        <f t="shared" si="257"/>
        <v>0</v>
      </c>
      <c r="G309" s="356">
        <f t="shared" si="257"/>
        <v>0</v>
      </c>
      <c r="H309" s="356">
        <f t="shared" si="257"/>
        <v>-244756.58282200919</v>
      </c>
      <c r="I309" s="356">
        <f t="shared" si="257"/>
        <v>-133591.88945507671</v>
      </c>
      <c r="J309" s="356">
        <f t="shared" si="257"/>
        <v>0</v>
      </c>
      <c r="K309" s="356">
        <f t="shared" si="257"/>
        <v>0</v>
      </c>
      <c r="L309" s="356">
        <f t="shared" si="257"/>
        <v>0</v>
      </c>
      <c r="M309" s="356">
        <f t="shared" si="257"/>
        <v>0</v>
      </c>
      <c r="N309" s="356">
        <f t="shared" si="257"/>
        <v>0</v>
      </c>
      <c r="O309" s="356">
        <f t="shared" si="257"/>
        <v>2018.9901818567189</v>
      </c>
      <c r="P309" s="356">
        <f t="shared" si="257"/>
        <v>0</v>
      </c>
      <c r="Q309" s="356">
        <f t="shared" si="257"/>
        <v>0</v>
      </c>
      <c r="R309" s="356">
        <f t="shared" si="257"/>
        <v>0</v>
      </c>
      <c r="S309" s="356">
        <f t="shared" si="257"/>
        <v>-1966485.8422657459</v>
      </c>
      <c r="T309" s="356">
        <f t="shared" si="257"/>
        <v>0</v>
      </c>
      <c r="U309" s="356">
        <f t="shared" si="257"/>
        <v>0</v>
      </c>
      <c r="V309" s="356">
        <f t="shared" si="257"/>
        <v>0</v>
      </c>
      <c r="W309" s="356">
        <f t="shared" si="257"/>
        <v>0</v>
      </c>
      <c r="X309" s="356">
        <f t="shared" si="257"/>
        <v>0</v>
      </c>
      <c r="Y309" s="356">
        <f t="shared" si="257"/>
        <v>0</v>
      </c>
      <c r="Z309" s="356">
        <f t="shared" si="257"/>
        <v>8078633.5371558303</v>
      </c>
      <c r="AA309" s="356">
        <f t="shared" si="257"/>
        <v>0</v>
      </c>
      <c r="AB309" s="356">
        <f t="shared" si="257"/>
        <v>0</v>
      </c>
      <c r="AC309" s="356">
        <f t="shared" si="257"/>
        <v>-1873999.7209310038</v>
      </c>
      <c r="AD309" s="356">
        <f t="shared" ref="AD309" si="258">-AD308/AD307</f>
        <v>0</v>
      </c>
      <c r="AE309" s="356">
        <f t="shared" si="257"/>
        <v>-30177391.188882951</v>
      </c>
      <c r="AF309" s="356">
        <f t="shared" si="257"/>
        <v>-546303.5384009569</v>
      </c>
      <c r="AG309" s="356">
        <f t="shared" si="257"/>
        <v>23041617.605685104</v>
      </c>
      <c r="AH309" s="356">
        <f t="shared" ref="AH309:AJ309" si="259">-AH308/AH307</f>
        <v>6664989.5537931584</v>
      </c>
      <c r="AI309" s="356">
        <f t="shared" si="259"/>
        <v>428763.46467757924</v>
      </c>
      <c r="AJ309" s="356">
        <f t="shared" si="259"/>
        <v>13051422.248184377</v>
      </c>
      <c r="AK309" s="356">
        <f t="shared" ref="AK309:AL309" si="260">-AK308/AK307</f>
        <v>0</v>
      </c>
      <c r="AL309" s="356">
        <f t="shared" si="260"/>
        <v>0</v>
      </c>
      <c r="AM309" s="356">
        <f t="shared" ref="AM309:AO309" si="261">-AM308/AM307</f>
        <v>0</v>
      </c>
      <c r="AN309" s="356">
        <f t="shared" si="261"/>
        <v>0</v>
      </c>
      <c r="AO309" s="356">
        <f t="shared" si="261"/>
        <v>14802.096030236429</v>
      </c>
      <c r="AP309" s="356">
        <f t="shared" si="257"/>
        <v>0</v>
      </c>
      <c r="AQ309" s="356">
        <f t="shared" si="257"/>
        <v>-6595102.029050733</v>
      </c>
      <c r="AR309" s="356">
        <f t="shared" si="257"/>
        <v>-795376.3842863969</v>
      </c>
      <c r="AS309" s="1316">
        <f t="shared" ref="AS309" si="262">-AS308/AS307</f>
        <v>4035115.7431653924</v>
      </c>
      <c r="AT309" s="356"/>
      <c r="AU309" s="356"/>
      <c r="AV309" s="356"/>
      <c r="AW309" s="356"/>
      <c r="AX309" s="356"/>
      <c r="AY309" s="356"/>
      <c r="AZ309" s="356"/>
      <c r="BB309" s="470">
        <f>-BB308/BB307</f>
        <v>14543724.76665807</v>
      </c>
      <c r="BC309" s="470">
        <f>-BC308/BC307</f>
        <v>234648942.38336164</v>
      </c>
      <c r="BD309" s="444"/>
      <c r="BE309" s="173"/>
      <c r="BF309" s="336"/>
    </row>
    <row r="310" spans="1:58" outlineLevel="1" x14ac:dyDescent="0.35">
      <c r="B310" s="329" t="s">
        <v>42</v>
      </c>
      <c r="C310" s="465" t="s">
        <v>921</v>
      </c>
      <c r="D310" s="470"/>
      <c r="E310" s="1316"/>
      <c r="F310" s="356"/>
      <c r="G310" s="356"/>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265"/>
      <c r="AN310" s="356"/>
      <c r="AO310" s="356"/>
      <c r="AP310" s="356"/>
      <c r="AQ310" s="356"/>
      <c r="AR310" s="356"/>
      <c r="AS310" s="1316"/>
      <c r="AT310" s="356"/>
      <c r="AU310" s="356"/>
      <c r="AV310" s="356"/>
      <c r="AW310" s="356"/>
      <c r="AX310" s="356"/>
      <c r="AY310" s="356"/>
      <c r="AZ310" s="356"/>
      <c r="BB310" s="470"/>
      <c r="BC310" s="470">
        <f>+BC249</f>
        <v>0</v>
      </c>
      <c r="BD310" s="444"/>
      <c r="BE310" s="173"/>
      <c r="BF310" s="336"/>
    </row>
    <row r="311" spans="1:58" outlineLevel="1" x14ac:dyDescent="0.35">
      <c r="B311" s="329" t="s">
        <v>43</v>
      </c>
      <c r="C311" s="465" t="s">
        <v>921</v>
      </c>
      <c r="D311" s="470"/>
      <c r="E311" s="1316"/>
      <c r="F311" s="356"/>
      <c r="G311" s="356"/>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265"/>
      <c r="AN311" s="356"/>
      <c r="AO311" s="356"/>
      <c r="AP311" s="356"/>
      <c r="AQ311" s="356"/>
      <c r="AR311" s="356"/>
      <c r="AS311" s="1316"/>
      <c r="AT311" s="356"/>
      <c r="AU311" s="356"/>
      <c r="AV311" s="356"/>
      <c r="AW311" s="356"/>
      <c r="AX311" s="356"/>
      <c r="AY311" s="356"/>
      <c r="AZ311" s="356"/>
      <c r="BB311" s="470"/>
      <c r="BC311" s="521">
        <f>SUM(BC309:BC310)</f>
        <v>234648942.38336164</v>
      </c>
      <c r="BD311" s="444"/>
      <c r="BE311" s="173"/>
      <c r="BF311" s="336"/>
    </row>
    <row r="312" spans="1:58" outlineLevel="1" x14ac:dyDescent="0.35">
      <c r="C312" s="465" t="s">
        <v>921</v>
      </c>
      <c r="D312" s="498"/>
      <c r="E312" s="1303"/>
      <c r="F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356"/>
      <c r="AH312" s="356"/>
      <c r="AI312" s="356"/>
      <c r="AJ312" s="356"/>
      <c r="AK312" s="265"/>
      <c r="AL312" s="265"/>
      <c r="AM312" s="265"/>
      <c r="AN312" s="265"/>
      <c r="AO312" s="265"/>
      <c r="AP312" s="265"/>
      <c r="AQ312" s="265"/>
      <c r="AR312" s="265"/>
      <c r="AS312" s="1303"/>
      <c r="AT312" s="265"/>
      <c r="AU312" s="265"/>
      <c r="AV312" s="265"/>
      <c r="AW312" s="265"/>
      <c r="AX312" s="265"/>
      <c r="AY312" s="265"/>
      <c r="AZ312" s="265"/>
      <c r="BB312" s="498"/>
      <c r="BC312" s="498"/>
      <c r="BD312" s="444"/>
      <c r="BF312" s="336"/>
    </row>
    <row r="313" spans="1:58" outlineLevel="1" x14ac:dyDescent="0.35">
      <c r="C313" s="465" t="s">
        <v>921</v>
      </c>
      <c r="E313" s="1279"/>
      <c r="AS313" s="1279"/>
      <c r="BB313" s="497">
        <f>+'Def, COC, ConvF DPK-7 '!K27</f>
        <v>7.3575000000000002E-2</v>
      </c>
      <c r="BC313" s="497">
        <f>+'Def, COC, ConvF DPK-7 '!K27</f>
        <v>7.3575000000000002E-2</v>
      </c>
      <c r="BD313" s="444"/>
      <c r="BF313" s="336"/>
    </row>
    <row r="314" spans="1:58" outlineLevel="1" x14ac:dyDescent="0.35">
      <c r="B314" s="499" t="s">
        <v>939</v>
      </c>
      <c r="C314" s="465" t="s">
        <v>921</v>
      </c>
      <c r="D314" s="500"/>
      <c r="E314" s="1304">
        <f>ROUND('Common Adj'!M$71-E291,0)+E293</f>
        <v>0</v>
      </c>
      <c r="F314" s="551">
        <f>ROUND('Common Adj'!AE$65-F291,0)+F293</f>
        <v>0</v>
      </c>
      <c r="G314" s="551">
        <f>ROUND('Common Adj'!AW$30-G291,0)+G293</f>
        <v>0</v>
      </c>
      <c r="H314" s="551">
        <f>ROUND('Common Adj'!BO$22-H291,0)+ROUND('Common Adj'!BO$24-H293,0)</f>
        <v>0</v>
      </c>
      <c r="I314" s="551">
        <f>ROUND('Common Adj'!CG$24-I291,0)+I293</f>
        <v>0</v>
      </c>
      <c r="J314" s="551">
        <f>ROUND('Common Adj'!CY$20-J291,0)+J293</f>
        <v>0</v>
      </c>
      <c r="K314" s="551">
        <f>ROUND('Common Adj'!DQ$22-K291,0)+K293</f>
        <v>0</v>
      </c>
      <c r="L314" s="551">
        <f>ROUND('Common Adj'!EI$21-L291,0)+L293</f>
        <v>0</v>
      </c>
      <c r="M314" s="551">
        <f>ROUND('Common Adj'!FA$27-M291,0)+M293</f>
        <v>0</v>
      </c>
      <c r="N314" s="551">
        <f>ROUND('Common Adj'!FS$23-N291,0)+N293</f>
        <v>0</v>
      </c>
      <c r="O314" s="551">
        <f>ROUND('Common Adj'!GK$32-O291,0)+O293</f>
        <v>0</v>
      </c>
      <c r="P314" s="551">
        <f>ROUND('Common Adj'!HC$36-P291,0)+P293</f>
        <v>0</v>
      </c>
      <c r="Q314" s="551">
        <f>ROUND('Common Adj'!HU$18-Q291,0)+Q293</f>
        <v>0</v>
      </c>
      <c r="R314" s="551">
        <f>ROUND('Common Adj'!IM$21-R291,0)+R293</f>
        <v>0</v>
      </c>
      <c r="S314" s="551">
        <f>ROUND('Common Adj'!JE$22-S291,0)+S293</f>
        <v>0</v>
      </c>
      <c r="T314" s="551">
        <f>ROUND('Common Adj'!JW$23-T291,0)+T293</f>
        <v>0</v>
      </c>
      <c r="U314" s="551">
        <f>ROUND('Common Adj'!KO$20-U291,0)+U293</f>
        <v>0</v>
      </c>
      <c r="V314" s="551">
        <f>ROUND('Common Adj'!LG$33-V291,0)+V293</f>
        <v>0</v>
      </c>
      <c r="W314" s="551">
        <f>ROUND('Common Adj'!LY$22-W293,0)+W291</f>
        <v>0</v>
      </c>
      <c r="X314" s="551">
        <f>ROUND('Common Adj'!MQ$31-X291,0)+ROUND('Common Adj'!MQ$36-X293,0)</f>
        <v>0</v>
      </c>
      <c r="Y314" s="551">
        <f>ROUND('Common Adj'!NI$22-Y291,0)+Y293</f>
        <v>0</v>
      </c>
      <c r="Z314" s="551">
        <f>ROUND('Common Adj'!OA$31-Z291,0)+Z293</f>
        <v>0</v>
      </c>
      <c r="AA314" s="551">
        <f>ROUND('Common Adj'!OS$35-AA291,0)+ROUND('Common Adj'!OS$24-AA293,0)</f>
        <v>0</v>
      </c>
      <c r="AB314" s="551">
        <f>ROUND('Common Adj'!PK$51-AB291,0)+ROUND('Common Adj'!PK$35-AB293,0)</f>
        <v>0</v>
      </c>
      <c r="AC314" s="551">
        <f>ROUND('Common Adj'!QC$21-AC291,0)+AC293</f>
        <v>0</v>
      </c>
      <c r="AD314" s="551">
        <f>ROUND('Common Adj'!QV19-AD293,0)</f>
        <v>0</v>
      </c>
      <c r="AE314" s="551">
        <f>ROUND('Common Adj'!RN31-AE291,0)+ROUND('Common Adj'!RN36-AE293,0)</f>
        <v>0</v>
      </c>
      <c r="AF314" s="551">
        <f>ROUND('Common Adj'!SF30-AF291,0)+ROUND('Common Adj'!SF35-AF293,0)</f>
        <v>0</v>
      </c>
      <c r="AG314" s="551">
        <f>ROUND('Common Adj'!$SX$26-AG291,0)+ROUND('Common Adj'!$SX$31-AG293,0)</f>
        <v>0</v>
      </c>
      <c r="AH314" s="551">
        <f>ROUND('Common Adj'!$SX$44-AH291,0)+ROUND('Common Adj'!$SX$49-AH293,0)</f>
        <v>0</v>
      </c>
      <c r="AI314" s="551">
        <f>ROUND('Common Adj'!$SX$62-AI291,0)+ROUND('Common Adj'!$SX$67-AI293,0)</f>
        <v>0</v>
      </c>
      <c r="AJ314" s="551">
        <f>ROUND('Common Adj'!$SX$80-AJ291,0)+ROUND('Common Adj'!$SX$85-AJ293,0)</f>
        <v>0</v>
      </c>
      <c r="AK314" s="551">
        <f>ROUND('Common Adj'!UJ$38-AK291,0)</f>
        <v>0</v>
      </c>
      <c r="AL314" s="551">
        <f>ROUND('Common Adj'!VC$27-AL291,0)+ROUND('Common Adj'!VC$19-AL293,0)</f>
        <v>0</v>
      </c>
      <c r="AM314" s="551">
        <f>ROUND('Common Adj'!TQ$25-AM291,0)</f>
        <v>0</v>
      </c>
      <c r="AN314" s="551">
        <f>ROUND('Common Adj'!VV$32-AN291,0)+ROUND(AN304-'Common Adj'!VV24,0)</f>
        <v>0</v>
      </c>
      <c r="AO314" s="551">
        <f>ROUND('Common Adj'!WK$21-AO291,0)</f>
        <v>0</v>
      </c>
      <c r="AP314" s="551">
        <f>ROUND('Gas Adj'!BO$49-AP293,0)+ROUND('Gas Adj'!BO$33-AP291,0)</f>
        <v>0</v>
      </c>
      <c r="AQ314" s="551">
        <f>ROUND('Gas Adj'!CG$47-AQ291,0)+ROUND('Gas Adj'!CG$27-AQ293,0)</f>
        <v>0</v>
      </c>
      <c r="AR314" s="551">
        <f>ROUND('Gas Adj'!CY22-AR291+'Gas Adj'!CY31-AR293,0)</f>
        <v>0</v>
      </c>
      <c r="AS314" s="1304"/>
      <c r="AT314" s="547"/>
      <c r="AU314" s="548"/>
      <c r="AV314" s="549"/>
      <c r="AW314" s="549"/>
      <c r="AX314" s="549"/>
      <c r="AY314" s="549"/>
      <c r="AZ314" s="549"/>
      <c r="BB314" s="550"/>
      <c r="BC314" s="550"/>
      <c r="BD314" s="444"/>
      <c r="BF314" s="336"/>
    </row>
    <row r="315" spans="1:58" outlineLevel="1" x14ac:dyDescent="0.35">
      <c r="B315" s="499" t="s">
        <v>953</v>
      </c>
      <c r="C315" s="465" t="s">
        <v>921</v>
      </c>
      <c r="D315" s="551">
        <f>'Summary DPK-7 '!K47-D291</f>
        <v>0</v>
      </c>
      <c r="E315" s="1279"/>
      <c r="AS315" s="329"/>
      <c r="BC315" s="551">
        <f>'Summary DPK-7 '!M47-BC291</f>
        <v>0</v>
      </c>
      <c r="BD315" s="444"/>
      <c r="BF315" s="336"/>
    </row>
    <row r="316" spans="1:58" outlineLevel="1" x14ac:dyDescent="0.35">
      <c r="B316" s="499" t="s">
        <v>954</v>
      </c>
      <c r="C316" s="465" t="s">
        <v>921</v>
      </c>
      <c r="D316" s="551">
        <f>'Summary DPK-7 '!K58-D304</f>
        <v>0</v>
      </c>
      <c r="E316" s="1279"/>
      <c r="AS316" s="329"/>
      <c r="BC316" s="551">
        <f>'Summary DPK-7 '!M58-BC304</f>
        <v>0</v>
      </c>
      <c r="BD316" s="444"/>
      <c r="BF316" s="336"/>
    </row>
    <row r="317" spans="1:58" x14ac:dyDescent="0.35">
      <c r="B317" s="411"/>
      <c r="C317" s="465"/>
      <c r="D317" s="502"/>
      <c r="AS317" s="329"/>
      <c r="BC317" s="502"/>
      <c r="BD317" s="444"/>
      <c r="BF317" s="336"/>
    </row>
    <row r="318" spans="1:58" hidden="1" outlineLevel="1" x14ac:dyDescent="0.35">
      <c r="A318" s="456"/>
      <c r="B318" s="458"/>
      <c r="C318" s="515"/>
      <c r="D318" s="460"/>
      <c r="E318" s="461"/>
      <c r="F318" s="461"/>
      <c r="G318" s="461"/>
      <c r="H318" s="461"/>
      <c r="I318" s="461"/>
      <c r="J318" s="461"/>
      <c r="K318" s="461"/>
      <c r="L318" s="461"/>
      <c r="M318" s="461"/>
      <c r="N318" s="461"/>
      <c r="O318" s="461"/>
      <c r="P318" s="461"/>
      <c r="Q318" s="461"/>
      <c r="R318" s="461"/>
      <c r="S318" s="461"/>
      <c r="T318" s="461"/>
      <c r="U318" s="461"/>
      <c r="V318" s="461"/>
      <c r="W318" s="461"/>
      <c r="X318" s="461"/>
      <c r="Y318" s="461"/>
      <c r="Z318" s="461"/>
      <c r="AA318" s="461"/>
      <c r="AB318" s="461"/>
      <c r="AC318" s="461"/>
      <c r="AD318" s="461"/>
      <c r="AE318" s="461"/>
      <c r="AF318" s="461"/>
      <c r="AG318" s="461"/>
      <c r="AH318" s="461"/>
      <c r="AI318" s="461"/>
      <c r="AJ318" s="461"/>
      <c r="AK318" s="461"/>
      <c r="AL318" s="461"/>
      <c r="AM318" s="461"/>
      <c r="AN318" s="461"/>
      <c r="AO318" s="461"/>
      <c r="AP318" s="461"/>
      <c r="AQ318" s="461"/>
      <c r="AR318" s="461"/>
      <c r="AS318" s="461"/>
      <c r="AT318" s="461"/>
      <c r="AU318" s="461"/>
      <c r="AV318" s="461"/>
      <c r="AW318" s="461"/>
      <c r="AX318" s="461"/>
      <c r="AY318" s="461"/>
      <c r="AZ318" s="461"/>
      <c r="BB318" s="461"/>
      <c r="BC318" s="461"/>
      <c r="BD318" s="444"/>
      <c r="BF318" s="336"/>
    </row>
    <row r="319" spans="1:58" hidden="1" outlineLevel="1" x14ac:dyDescent="0.35">
      <c r="A319" s="456"/>
      <c r="B319" s="458"/>
      <c r="C319" s="515"/>
      <c r="D319" s="462"/>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c r="AA319" s="463"/>
      <c r="AB319" s="463"/>
      <c r="AC319" s="463"/>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3"/>
      <c r="AY319" s="463"/>
      <c r="AZ319" s="463"/>
      <c r="BB319" s="456"/>
      <c r="BC319" s="462"/>
      <c r="BD319" s="444"/>
      <c r="BF319" s="336"/>
    </row>
    <row r="320" spans="1:58" hidden="1" outlineLevel="1" x14ac:dyDescent="0.35">
      <c r="B320" s="464" t="s">
        <v>0</v>
      </c>
      <c r="C320" s="516"/>
      <c r="D320" s="476"/>
      <c r="AS320" s="329"/>
      <c r="BB320" s="467"/>
      <c r="BC320" s="467"/>
      <c r="BD320" s="444"/>
      <c r="BF320" s="336"/>
    </row>
    <row r="321" spans="1:58" hidden="1" outlineLevel="1" x14ac:dyDescent="0.35">
      <c r="B321" s="464" t="s">
        <v>48</v>
      </c>
      <c r="C321" s="516"/>
      <c r="D321" s="467"/>
      <c r="E321" s="468">
        <f>'Common Adj'!$O$37</f>
        <v>0</v>
      </c>
      <c r="F321" s="469"/>
      <c r="G321" s="469"/>
      <c r="H321" s="469"/>
      <c r="I321" s="469"/>
      <c r="J321" s="469"/>
      <c r="K321" s="469"/>
      <c r="L321" s="469"/>
      <c r="M321" s="469"/>
      <c r="N321" s="469"/>
      <c r="O321" s="469"/>
      <c r="P321" s="469"/>
      <c r="Q321" s="469"/>
      <c r="R321" s="469"/>
      <c r="S321" s="469"/>
      <c r="T321" s="469"/>
      <c r="U321" s="469"/>
      <c r="V321" s="469"/>
      <c r="W321" s="469"/>
      <c r="X321" s="469"/>
      <c r="Y321" s="469"/>
      <c r="Z321" s="469"/>
      <c r="AA321" s="469"/>
      <c r="AB321" s="469"/>
      <c r="AC321" s="469"/>
      <c r="AD321" s="469"/>
      <c r="AE321" s="469"/>
      <c r="AF321" s="469"/>
      <c r="AG321" s="469"/>
      <c r="AH321" s="469"/>
      <c r="AI321" s="469"/>
      <c r="AJ321" s="469"/>
      <c r="AK321" s="469"/>
      <c r="AL321" s="469"/>
      <c r="AM321" s="469"/>
      <c r="AN321" s="469"/>
      <c r="AO321" s="469"/>
      <c r="AP321" s="469"/>
      <c r="AQ321" s="469"/>
      <c r="AR321" s="469"/>
      <c r="AS321" s="469"/>
      <c r="AT321" s="469"/>
      <c r="AU321" s="469"/>
      <c r="AV321" s="469"/>
      <c r="AW321" s="468"/>
      <c r="AX321" s="468"/>
      <c r="AY321" s="469"/>
      <c r="AZ321" s="469"/>
      <c r="BB321" s="467">
        <f>SUM(E321:AZ321)</f>
        <v>0</v>
      </c>
      <c r="BC321" s="467">
        <f>+BB321+D321</f>
        <v>0</v>
      </c>
      <c r="BD321" s="444"/>
      <c r="BF321" s="336"/>
    </row>
    <row r="322" spans="1:58" hidden="1" outlineLevel="1" x14ac:dyDescent="0.35">
      <c r="B322" s="464" t="s">
        <v>49</v>
      </c>
      <c r="C322" s="516"/>
      <c r="D322" s="470"/>
      <c r="E322" s="471"/>
      <c r="F322" s="472"/>
      <c r="G322" s="472"/>
      <c r="H322" s="472"/>
      <c r="I322" s="472"/>
      <c r="J322" s="472"/>
      <c r="K322" s="472"/>
      <c r="L322" s="472"/>
      <c r="M322" s="472"/>
      <c r="N322" s="472"/>
      <c r="O322" s="472"/>
      <c r="P322" s="472"/>
      <c r="Q322" s="472"/>
      <c r="R322" s="472"/>
      <c r="S322" s="472"/>
      <c r="T322" s="472"/>
      <c r="U322" s="472"/>
      <c r="V322" s="472"/>
      <c r="W322" s="472"/>
      <c r="X322" s="472"/>
      <c r="Y322" s="472"/>
      <c r="Z322" s="472"/>
      <c r="AA322" s="472"/>
      <c r="AB322" s="472"/>
      <c r="AC322" s="472"/>
      <c r="AD322" s="472"/>
      <c r="AE322" s="472"/>
      <c r="AF322" s="472"/>
      <c r="AG322" s="472"/>
      <c r="AH322" s="472"/>
      <c r="AI322" s="472"/>
      <c r="AJ322" s="472"/>
      <c r="AK322" s="472"/>
      <c r="AL322" s="472"/>
      <c r="AM322" s="472"/>
      <c r="AN322" s="472"/>
      <c r="AO322" s="472"/>
      <c r="AP322" s="472"/>
      <c r="AQ322" s="472"/>
      <c r="AR322" s="472"/>
      <c r="AS322" s="472"/>
      <c r="AT322" s="472"/>
      <c r="AU322" s="472"/>
      <c r="AV322" s="472"/>
      <c r="AW322" s="471"/>
      <c r="AX322" s="471"/>
      <c r="AY322" s="472"/>
      <c r="AZ322" s="472"/>
      <c r="BB322" s="470">
        <f>SUM(E322:AZ322)</f>
        <v>0</v>
      </c>
      <c r="BC322" s="470">
        <f>+BB322+D322</f>
        <v>0</v>
      </c>
      <c r="BD322" s="444"/>
      <c r="BF322" s="336"/>
    </row>
    <row r="323" spans="1:58" hidden="1" outlineLevel="1" x14ac:dyDescent="0.35">
      <c r="B323" s="464" t="s">
        <v>50</v>
      </c>
      <c r="C323" s="516"/>
      <c r="D323" s="470"/>
      <c r="E323" s="471"/>
      <c r="F323" s="472"/>
      <c r="G323" s="472"/>
      <c r="H323" s="472"/>
      <c r="I323" s="472"/>
      <c r="J323" s="472"/>
      <c r="K323" s="472"/>
      <c r="L323" s="472"/>
      <c r="M323" s="472"/>
      <c r="N323" s="472"/>
      <c r="O323" s="472"/>
      <c r="P323" s="472"/>
      <c r="Q323" s="472"/>
      <c r="R323" s="472"/>
      <c r="S323" s="472"/>
      <c r="T323" s="472"/>
      <c r="U323" s="472"/>
      <c r="V323" s="472"/>
      <c r="W323" s="472"/>
      <c r="X323" s="472"/>
      <c r="Y323" s="472"/>
      <c r="Z323" s="472"/>
      <c r="AA323" s="472"/>
      <c r="AB323" s="472"/>
      <c r="AC323" s="472"/>
      <c r="AD323" s="472"/>
      <c r="AE323" s="472"/>
      <c r="AF323" s="472"/>
      <c r="AG323" s="472"/>
      <c r="AH323" s="472"/>
      <c r="AI323" s="511"/>
      <c r="AJ323" s="511"/>
      <c r="AK323" s="511"/>
      <c r="AL323" s="511"/>
      <c r="AM323" s="511"/>
      <c r="AN323" s="511"/>
      <c r="AO323" s="511"/>
      <c r="AP323" s="472"/>
      <c r="AQ323" s="472"/>
      <c r="AR323" s="472"/>
      <c r="AS323" s="472"/>
      <c r="AT323" s="472"/>
      <c r="AU323" s="472"/>
      <c r="AV323" s="472"/>
      <c r="AW323" s="471"/>
      <c r="AX323" s="471"/>
      <c r="AY323" s="472"/>
      <c r="AZ323" s="472"/>
      <c r="BB323" s="470">
        <f>SUM(E323:AZ323)</f>
        <v>0</v>
      </c>
      <c r="BC323" s="470">
        <f>+BB323+D323</f>
        <v>0</v>
      </c>
      <c r="BD323" s="444"/>
      <c r="BF323" s="336"/>
    </row>
    <row r="324" spans="1:58" customFormat="1" hidden="1" outlineLevel="1" x14ac:dyDescent="0.35">
      <c r="A324" s="329"/>
      <c r="B324" s="464" t="s">
        <v>51</v>
      </c>
      <c r="C324" s="516"/>
      <c r="D324" s="470"/>
      <c r="E324" s="471"/>
      <c r="F324" s="472"/>
      <c r="G324" s="472"/>
      <c r="H324" s="472"/>
      <c r="I324" s="472"/>
      <c r="J324" s="472"/>
      <c r="K324" s="472"/>
      <c r="L324" s="472"/>
      <c r="M324" s="472"/>
      <c r="N324" s="472"/>
      <c r="O324" s="472"/>
      <c r="P324" s="472"/>
      <c r="Q324" s="472"/>
      <c r="R324" s="472"/>
      <c r="S324" s="472"/>
      <c r="T324" s="472"/>
      <c r="U324" s="472"/>
      <c r="V324" s="472"/>
      <c r="W324" s="472"/>
      <c r="X324" s="472"/>
      <c r="Y324" s="472"/>
      <c r="Z324" s="471"/>
      <c r="AA324" s="471"/>
      <c r="AB324" s="471"/>
      <c r="AC324" s="472"/>
      <c r="AD324" s="472"/>
      <c r="AE324" s="472"/>
      <c r="AF324" s="472"/>
      <c r="AG324" s="472"/>
      <c r="AH324" s="472"/>
      <c r="AI324" s="511"/>
      <c r="AJ324" s="511"/>
      <c r="AK324" s="511"/>
      <c r="AL324" s="511"/>
      <c r="AM324" s="511"/>
      <c r="AN324" s="511"/>
      <c r="AO324" s="511"/>
      <c r="AP324" s="472"/>
      <c r="AQ324" s="472"/>
      <c r="AR324" s="472"/>
      <c r="AS324" s="472"/>
      <c r="AT324" s="472"/>
      <c r="AU324" s="472"/>
      <c r="AV324" s="472"/>
      <c r="AW324" s="471"/>
      <c r="AX324" s="471"/>
      <c r="AY324" s="472"/>
      <c r="AZ324" s="472"/>
      <c r="BB324" s="470">
        <f>SUM(E324:AZ324)</f>
        <v>0</v>
      </c>
      <c r="BC324" s="470">
        <f>+BB324+D324</f>
        <v>0</v>
      </c>
      <c r="BD324" s="444"/>
      <c r="BF324" s="336"/>
    </row>
    <row r="325" spans="1:58" customFormat="1" hidden="1" outlineLevel="1" x14ac:dyDescent="0.35">
      <c r="A325" s="329"/>
      <c r="B325" s="464" t="s">
        <v>58</v>
      </c>
      <c r="C325" s="516"/>
      <c r="D325" s="473">
        <f t="shared" ref="D325:BC325" si="263">SUM(D321:D324)</f>
        <v>0</v>
      </c>
      <c r="E325" s="474">
        <f t="shared" si="263"/>
        <v>0</v>
      </c>
      <c r="F325" s="436">
        <f t="shared" si="263"/>
        <v>0</v>
      </c>
      <c r="G325" s="436">
        <f t="shared" si="263"/>
        <v>0</v>
      </c>
      <c r="H325" s="436">
        <f t="shared" si="263"/>
        <v>0</v>
      </c>
      <c r="I325" s="436">
        <f t="shared" si="263"/>
        <v>0</v>
      </c>
      <c r="J325" s="436">
        <f t="shared" si="263"/>
        <v>0</v>
      </c>
      <c r="K325" s="436">
        <f t="shared" si="263"/>
        <v>0</v>
      </c>
      <c r="L325" s="436">
        <f t="shared" si="263"/>
        <v>0</v>
      </c>
      <c r="M325" s="436">
        <f t="shared" si="263"/>
        <v>0</v>
      </c>
      <c r="N325" s="436">
        <f t="shared" si="263"/>
        <v>0</v>
      </c>
      <c r="O325" s="436">
        <f t="shared" si="263"/>
        <v>0</v>
      </c>
      <c r="P325" s="436">
        <f t="shared" si="263"/>
        <v>0</v>
      </c>
      <c r="Q325" s="436">
        <f t="shared" si="263"/>
        <v>0</v>
      </c>
      <c r="R325" s="436">
        <f t="shared" si="263"/>
        <v>0</v>
      </c>
      <c r="S325" s="436">
        <f t="shared" si="263"/>
        <v>0</v>
      </c>
      <c r="T325" s="436">
        <f t="shared" si="263"/>
        <v>0</v>
      </c>
      <c r="U325" s="436">
        <f t="shared" si="263"/>
        <v>0</v>
      </c>
      <c r="V325" s="436">
        <f t="shared" si="263"/>
        <v>0</v>
      </c>
      <c r="W325" s="436">
        <f t="shared" si="263"/>
        <v>0</v>
      </c>
      <c r="X325" s="436">
        <f t="shared" si="263"/>
        <v>0</v>
      </c>
      <c r="Y325" s="436">
        <f t="shared" si="263"/>
        <v>0</v>
      </c>
      <c r="Z325" s="474">
        <f t="shared" si="263"/>
        <v>0</v>
      </c>
      <c r="AA325" s="474">
        <f t="shared" si="263"/>
        <v>0</v>
      </c>
      <c r="AB325" s="474">
        <f t="shared" si="263"/>
        <v>0</v>
      </c>
      <c r="AC325" s="436">
        <f t="shared" si="263"/>
        <v>0</v>
      </c>
      <c r="AD325" s="436">
        <f t="shared" ref="AD325" si="264">SUM(AD321:AD324)</f>
        <v>0</v>
      </c>
      <c r="AE325" s="436">
        <f t="shared" si="263"/>
        <v>0</v>
      </c>
      <c r="AF325" s="436">
        <f t="shared" si="263"/>
        <v>0</v>
      </c>
      <c r="AG325" s="436">
        <f t="shared" si="263"/>
        <v>0</v>
      </c>
      <c r="AH325" s="436">
        <f t="shared" si="263"/>
        <v>0</v>
      </c>
      <c r="AI325" s="522">
        <f t="shared" si="263"/>
        <v>0</v>
      </c>
      <c r="AJ325" s="522"/>
      <c r="AK325" s="522"/>
      <c r="AL325" s="522"/>
      <c r="AM325" s="522"/>
      <c r="AN325" s="522"/>
      <c r="AO325" s="522"/>
      <c r="AP325" s="436">
        <f t="shared" si="263"/>
        <v>0</v>
      </c>
      <c r="AQ325" s="436">
        <f t="shared" si="263"/>
        <v>0</v>
      </c>
      <c r="AR325" s="436">
        <f t="shared" si="263"/>
        <v>0</v>
      </c>
      <c r="AS325" s="436">
        <f t="shared" ref="AS325" si="265">SUM(AS321:AS324)</f>
        <v>0</v>
      </c>
      <c r="AT325" s="436"/>
      <c r="AU325" s="436"/>
      <c r="AV325" s="436"/>
      <c r="AW325" s="474"/>
      <c r="AX325" s="474"/>
      <c r="AY325" s="436"/>
      <c r="AZ325" s="436"/>
      <c r="BB325" s="473">
        <f t="shared" si="263"/>
        <v>0</v>
      </c>
      <c r="BC325" s="473">
        <f t="shared" si="263"/>
        <v>0</v>
      </c>
      <c r="BD325" s="444"/>
      <c r="BF325" s="336"/>
    </row>
    <row r="326" spans="1:58" customFormat="1" hidden="1" outlineLevel="1" x14ac:dyDescent="0.35">
      <c r="A326" s="329"/>
      <c r="B326" s="475"/>
      <c r="C326" s="516"/>
      <c r="D326" s="470"/>
      <c r="E326" s="471"/>
      <c r="F326" s="472"/>
      <c r="G326" s="472"/>
      <c r="H326" s="472"/>
      <c r="I326" s="472"/>
      <c r="J326" s="472"/>
      <c r="K326" s="472"/>
      <c r="L326" s="472"/>
      <c r="M326" s="472"/>
      <c r="N326" s="472"/>
      <c r="O326" s="472"/>
      <c r="P326" s="472"/>
      <c r="Q326" s="472"/>
      <c r="R326" s="472"/>
      <c r="S326" s="472"/>
      <c r="T326" s="472"/>
      <c r="U326" s="472"/>
      <c r="V326" s="472"/>
      <c r="W326" s="472"/>
      <c r="X326" s="472"/>
      <c r="Y326" s="472"/>
      <c r="Z326" s="471"/>
      <c r="AA326" s="471"/>
      <c r="AB326" s="471"/>
      <c r="AC326" s="472"/>
      <c r="AD326" s="472"/>
      <c r="AE326" s="472"/>
      <c r="AF326" s="472"/>
      <c r="AG326" s="472"/>
      <c r="AH326" s="472"/>
      <c r="AI326" s="472"/>
      <c r="AJ326" s="472"/>
      <c r="AK326" s="472"/>
      <c r="AL326" s="472"/>
      <c r="AM326" s="472"/>
      <c r="AN326" s="472"/>
      <c r="AO326" s="472"/>
      <c r="AP326" s="472"/>
      <c r="AQ326" s="472"/>
      <c r="AR326" s="472"/>
      <c r="AS326" s="472"/>
      <c r="AT326" s="472"/>
      <c r="AU326" s="472"/>
      <c r="AV326" s="472"/>
      <c r="AW326" s="471"/>
      <c r="AX326" s="471"/>
      <c r="AY326" s="472"/>
      <c r="AZ326" s="472"/>
      <c r="BB326" s="470"/>
      <c r="BC326" s="470"/>
      <c r="BD326" s="444"/>
      <c r="BF326" s="336"/>
    </row>
    <row r="327" spans="1:58" customFormat="1" hidden="1" outlineLevel="1" x14ac:dyDescent="0.35">
      <c r="A327" s="329"/>
      <c r="B327" s="464" t="s">
        <v>52</v>
      </c>
      <c r="C327" s="516"/>
      <c r="D327" s="466"/>
      <c r="E327" s="341"/>
      <c r="F327" s="329"/>
      <c r="G327" s="329"/>
      <c r="H327" s="329"/>
      <c r="I327" s="329"/>
      <c r="J327" s="329"/>
      <c r="K327" s="329"/>
      <c r="L327" s="329"/>
      <c r="M327" s="329"/>
      <c r="N327" s="329"/>
      <c r="O327" s="329"/>
      <c r="P327" s="329"/>
      <c r="Q327" s="329"/>
      <c r="R327" s="329"/>
      <c r="S327" s="329"/>
      <c r="T327" s="329"/>
      <c r="U327" s="329"/>
      <c r="V327" s="329"/>
      <c r="W327" s="329"/>
      <c r="X327" s="329"/>
      <c r="Y327" s="329"/>
      <c r="Z327" s="341"/>
      <c r="AA327" s="341"/>
      <c r="AB327" s="341"/>
      <c r="AC327" s="329"/>
      <c r="AD327" s="329"/>
      <c r="AE327" s="329"/>
      <c r="AF327" s="329"/>
      <c r="AG327" s="329"/>
      <c r="AH327" s="329"/>
      <c r="AI327" s="329"/>
      <c r="AJ327" s="329"/>
      <c r="AK327" s="329"/>
      <c r="AL327" s="329"/>
      <c r="AM327" s="329"/>
      <c r="AN327" s="329"/>
      <c r="AO327" s="329"/>
      <c r="AP327" s="329"/>
      <c r="AQ327" s="329"/>
      <c r="AR327" s="329"/>
      <c r="AS327" s="329"/>
      <c r="AT327" s="329"/>
      <c r="AU327" s="329"/>
      <c r="AV327" s="329"/>
      <c r="AW327" s="341"/>
      <c r="AX327" s="341"/>
      <c r="AY327" s="329"/>
      <c r="AZ327" s="329"/>
      <c r="BB327" s="466"/>
      <c r="BC327" s="466"/>
      <c r="BD327" s="444"/>
      <c r="BF327" s="336"/>
    </row>
    <row r="328" spans="1:58" customFormat="1" hidden="1" outlineLevel="1" x14ac:dyDescent="0.35">
      <c r="A328" s="329"/>
      <c r="B328" s="329"/>
      <c r="C328" s="516"/>
      <c r="D328" s="466"/>
      <c r="E328" s="341"/>
      <c r="F328" s="329"/>
      <c r="G328" s="329"/>
      <c r="H328" s="329"/>
      <c r="I328" s="329"/>
      <c r="J328" s="329"/>
      <c r="K328" s="329"/>
      <c r="L328" s="329"/>
      <c r="M328" s="329"/>
      <c r="N328" s="329"/>
      <c r="O328" s="329"/>
      <c r="P328" s="329"/>
      <c r="Q328" s="329"/>
      <c r="R328" s="329"/>
      <c r="S328" s="329"/>
      <c r="T328" s="329"/>
      <c r="U328" s="329"/>
      <c r="V328" s="329"/>
      <c r="W328" s="329"/>
      <c r="X328" s="329"/>
      <c r="Y328" s="329"/>
      <c r="Z328" s="341"/>
      <c r="AA328" s="341"/>
      <c r="AB328" s="341"/>
      <c r="AC328" s="329"/>
      <c r="AD328" s="329"/>
      <c r="AE328" s="329"/>
      <c r="AF328" s="329"/>
      <c r="AG328" s="329"/>
      <c r="AH328" s="329"/>
      <c r="AI328" s="329"/>
      <c r="AJ328" s="329"/>
      <c r="AK328" s="329"/>
      <c r="AL328" s="329"/>
      <c r="AM328" s="329"/>
      <c r="AN328" s="329"/>
      <c r="AO328" s="329"/>
      <c r="AP328" s="329"/>
      <c r="AQ328" s="329"/>
      <c r="AR328" s="329"/>
      <c r="AS328" s="329"/>
      <c r="AT328" s="329"/>
      <c r="AU328" s="329"/>
      <c r="AV328" s="329"/>
      <c r="AW328" s="341"/>
      <c r="AX328" s="341"/>
      <c r="AY328" s="329"/>
      <c r="AZ328" s="329"/>
      <c r="BB328" s="466"/>
      <c r="BC328" s="466"/>
      <c r="BD328" s="444"/>
      <c r="BF328" s="336"/>
    </row>
    <row r="329" spans="1:58" customFormat="1" hidden="1" outlineLevel="1" x14ac:dyDescent="0.35">
      <c r="A329" s="329"/>
      <c r="B329" s="464" t="s">
        <v>53</v>
      </c>
      <c r="C329" s="516"/>
      <c r="D329" s="466"/>
      <c r="E329" s="341"/>
      <c r="F329" s="329"/>
      <c r="G329" s="329"/>
      <c r="H329" s="329"/>
      <c r="I329" s="329"/>
      <c r="J329" s="329"/>
      <c r="K329" s="329"/>
      <c r="L329" s="329"/>
      <c r="M329" s="329"/>
      <c r="N329" s="329"/>
      <c r="O329" s="329"/>
      <c r="P329" s="329"/>
      <c r="Q329" s="329"/>
      <c r="R329" s="329"/>
      <c r="S329" s="329"/>
      <c r="T329" s="329"/>
      <c r="U329" s="329"/>
      <c r="V329" s="329"/>
      <c r="W329" s="329"/>
      <c r="X329" s="329"/>
      <c r="Y329" s="329"/>
      <c r="Z329" s="341"/>
      <c r="AA329" s="341"/>
      <c r="AB329" s="341"/>
      <c r="AC329" s="329"/>
      <c r="AD329" s="329"/>
      <c r="AE329" s="329"/>
      <c r="AF329" s="329"/>
      <c r="AG329" s="329"/>
      <c r="AH329" s="329"/>
      <c r="AI329" s="329"/>
      <c r="AJ329" s="329"/>
      <c r="AK329" s="329"/>
      <c r="AL329" s="329"/>
      <c r="AM329" s="329"/>
      <c r="AN329" s="329"/>
      <c r="AO329" s="329"/>
      <c r="AP329" s="329"/>
      <c r="AQ329" s="329"/>
      <c r="AR329" s="329"/>
      <c r="AS329" s="329"/>
      <c r="AT329" s="329"/>
      <c r="AU329" s="329"/>
      <c r="AV329" s="329"/>
      <c r="AW329" s="341"/>
      <c r="AX329" s="341"/>
      <c r="AY329" s="329"/>
      <c r="AZ329" s="329"/>
      <c r="BB329" s="466"/>
      <c r="BC329" s="466"/>
      <c r="BD329" s="444"/>
      <c r="BF329" s="336"/>
    </row>
    <row r="330" spans="1:58" customFormat="1" hidden="1" outlineLevel="1" x14ac:dyDescent="0.35">
      <c r="A330" s="329"/>
      <c r="B330" s="464" t="s">
        <v>54</v>
      </c>
      <c r="C330" s="516"/>
      <c r="D330" s="476"/>
      <c r="E330" s="420"/>
      <c r="F330" s="173"/>
      <c r="G330" s="173"/>
      <c r="H330" s="173"/>
      <c r="I330" s="173"/>
      <c r="J330" s="173"/>
      <c r="K330" s="173"/>
      <c r="L330" s="173"/>
      <c r="M330" s="173"/>
      <c r="N330" s="173"/>
      <c r="O330" s="173"/>
      <c r="P330" s="173"/>
      <c r="Q330" s="173"/>
      <c r="R330" s="173"/>
      <c r="S330" s="173"/>
      <c r="T330" s="173"/>
      <c r="U330" s="173"/>
      <c r="V330" s="173"/>
      <c r="W330" s="173"/>
      <c r="X330" s="173"/>
      <c r="Y330" s="173"/>
      <c r="Z330" s="420"/>
      <c r="AA330" s="420"/>
      <c r="AB330" s="420"/>
      <c r="AC330" s="173"/>
      <c r="AD330" s="173"/>
      <c r="AE330" s="173"/>
      <c r="AF330" s="173"/>
      <c r="AG330" s="173"/>
      <c r="AH330" s="173"/>
      <c r="AI330" s="510"/>
      <c r="AJ330" s="510"/>
      <c r="AK330" s="510"/>
      <c r="AL330" s="510"/>
      <c r="AM330" s="510"/>
      <c r="AN330" s="510"/>
      <c r="AO330" s="510"/>
      <c r="AP330" s="173"/>
      <c r="AQ330" s="173"/>
      <c r="AR330" s="173"/>
      <c r="AS330" s="173"/>
      <c r="AT330" s="173"/>
      <c r="AU330" s="173"/>
      <c r="AV330" s="173"/>
      <c r="AW330" s="420"/>
      <c r="AX330" s="420"/>
      <c r="AY330" s="173"/>
      <c r="AZ330" s="173"/>
      <c r="BB330" s="476">
        <f>SUM(E330:AZ330)</f>
        <v>0</v>
      </c>
      <c r="BC330" s="476">
        <f>+BB330+D330</f>
        <v>0</v>
      </c>
      <c r="BD330" s="444"/>
      <c r="BF330" s="336"/>
    </row>
    <row r="331" spans="1:58" customFormat="1" hidden="1" outlineLevel="1" x14ac:dyDescent="0.35">
      <c r="A331" s="329"/>
      <c r="B331" s="464" t="s">
        <v>55</v>
      </c>
      <c r="C331" s="516"/>
      <c r="D331" s="470"/>
      <c r="E331" s="471"/>
      <c r="F331" s="472"/>
      <c r="G331" s="472"/>
      <c r="H331" s="472"/>
      <c r="I331" s="472"/>
      <c r="J331" s="472"/>
      <c r="K331" s="472"/>
      <c r="L331" s="472"/>
      <c r="M331" s="472"/>
      <c r="N331" s="472"/>
      <c r="O331" s="472"/>
      <c r="P331" s="472"/>
      <c r="Q331" s="472"/>
      <c r="R331" s="472"/>
      <c r="S331" s="472"/>
      <c r="T331" s="472"/>
      <c r="U331" s="472"/>
      <c r="V331" s="472"/>
      <c r="W331" s="472"/>
      <c r="X331" s="472"/>
      <c r="Y331" s="472"/>
      <c r="Z331" s="471"/>
      <c r="AA331" s="471"/>
      <c r="AB331" s="471"/>
      <c r="AC331" s="472"/>
      <c r="AD331" s="472"/>
      <c r="AE331" s="472"/>
      <c r="AF331" s="472"/>
      <c r="AG331" s="472"/>
      <c r="AH331" s="472"/>
      <c r="AI331" s="511"/>
      <c r="AJ331" s="511"/>
      <c r="AK331" s="511"/>
      <c r="AL331" s="511"/>
      <c r="AM331" s="511"/>
      <c r="AN331" s="511"/>
      <c r="AO331" s="511"/>
      <c r="AP331" s="472"/>
      <c r="AQ331" s="472"/>
      <c r="AR331" s="472"/>
      <c r="AS331" s="472"/>
      <c r="AT331" s="472"/>
      <c r="AU331" s="472"/>
      <c r="AV331" s="472"/>
      <c r="AW331" s="471"/>
      <c r="AX331" s="471"/>
      <c r="AY331" s="472"/>
      <c r="AZ331" s="472"/>
      <c r="BB331" s="470">
        <f>SUM(E331:AZ331)</f>
        <v>0</v>
      </c>
      <c r="BC331" s="470">
        <f>+BB331+D331</f>
        <v>0</v>
      </c>
      <c r="BD331" s="444"/>
      <c r="BF331" s="336"/>
    </row>
    <row r="332" spans="1:58" hidden="1" outlineLevel="1" x14ac:dyDescent="0.35">
      <c r="B332" s="464" t="s">
        <v>56</v>
      </c>
      <c r="C332" s="516"/>
      <c r="D332" s="470"/>
      <c r="E332" s="471"/>
      <c r="F332" s="472"/>
      <c r="G332" s="472"/>
      <c r="H332" s="472"/>
      <c r="I332" s="472"/>
      <c r="J332" s="472"/>
      <c r="K332" s="472"/>
      <c r="L332" s="472"/>
      <c r="M332" s="472"/>
      <c r="N332" s="472"/>
      <c r="O332" s="472"/>
      <c r="P332" s="472"/>
      <c r="Q332" s="472"/>
      <c r="R332" s="472"/>
      <c r="S332" s="472"/>
      <c r="T332" s="472"/>
      <c r="U332" s="472"/>
      <c r="V332" s="472"/>
      <c r="W332" s="472"/>
      <c r="X332" s="472"/>
      <c r="Y332" s="472"/>
      <c r="Z332" s="471"/>
      <c r="AA332" s="471"/>
      <c r="AB332" s="471"/>
      <c r="AC332" s="472"/>
      <c r="AD332" s="472"/>
      <c r="AE332" s="472"/>
      <c r="AF332" s="472"/>
      <c r="AG332" s="472"/>
      <c r="AH332" s="472"/>
      <c r="AI332" s="511"/>
      <c r="AJ332" s="511"/>
      <c r="AK332" s="511"/>
      <c r="AL332" s="511"/>
      <c r="AM332" s="511"/>
      <c r="AN332" s="511"/>
      <c r="AO332" s="511"/>
      <c r="AP332" s="472"/>
      <c r="AQ332" s="472"/>
      <c r="AR332" s="472"/>
      <c r="AS332" s="472"/>
      <c r="AT332" s="472"/>
      <c r="AU332" s="472"/>
      <c r="AV332" s="472"/>
      <c r="AW332" s="471"/>
      <c r="AX332" s="471"/>
      <c r="AY332" s="472"/>
      <c r="AZ332" s="472"/>
      <c r="BB332" s="470">
        <f>SUM(E332:AZ332)</f>
        <v>0</v>
      </c>
      <c r="BC332" s="470">
        <f>+BB332+D332</f>
        <v>0</v>
      </c>
      <c r="BD332" s="444"/>
      <c r="BF332" s="336"/>
    </row>
    <row r="333" spans="1:58" hidden="1" outlineLevel="1" x14ac:dyDescent="0.35">
      <c r="B333" s="329" t="s">
        <v>57</v>
      </c>
      <c r="C333" s="516"/>
      <c r="D333" s="470"/>
      <c r="E333" s="471"/>
      <c r="F333" s="472"/>
      <c r="G333" s="472"/>
      <c r="H333" s="472"/>
      <c r="I333" s="472"/>
      <c r="J333" s="472"/>
      <c r="K333" s="472"/>
      <c r="L333" s="472"/>
      <c r="M333" s="472"/>
      <c r="N333" s="472"/>
      <c r="O333" s="472"/>
      <c r="P333" s="472"/>
      <c r="Q333" s="472"/>
      <c r="R333" s="472"/>
      <c r="S333" s="472"/>
      <c r="T333" s="472"/>
      <c r="U333" s="472"/>
      <c r="V333" s="472"/>
      <c r="W333" s="472"/>
      <c r="X333" s="472"/>
      <c r="Y333" s="472"/>
      <c r="Z333" s="471"/>
      <c r="AA333" s="471"/>
      <c r="AB333" s="471"/>
      <c r="AC333" s="472"/>
      <c r="AD333" s="472"/>
      <c r="AE333" s="472"/>
      <c r="AF333" s="472"/>
      <c r="AG333" s="472"/>
      <c r="AH333" s="472"/>
      <c r="AI333" s="472"/>
      <c r="AJ333" s="472"/>
      <c r="AK333" s="472"/>
      <c r="AL333" s="472"/>
      <c r="AM333" s="472"/>
      <c r="AN333" s="472"/>
      <c r="AO333" s="472"/>
      <c r="AP333" s="472"/>
      <c r="AQ333" s="472"/>
      <c r="AR333" s="472"/>
      <c r="AS333" s="472"/>
      <c r="AT333" s="472"/>
      <c r="AU333" s="472"/>
      <c r="AV333" s="472"/>
      <c r="AW333" s="471"/>
      <c r="AX333" s="471"/>
      <c r="AY333" s="472"/>
      <c r="AZ333" s="472"/>
      <c r="BB333" s="470">
        <f>SUM(E333:AZ333)</f>
        <v>0</v>
      </c>
      <c r="BC333" s="470">
        <f>+BB333+D333</f>
        <v>0</v>
      </c>
      <c r="BD333" s="444"/>
      <c r="BF333" s="336"/>
    </row>
    <row r="334" spans="1:58" hidden="1" outlineLevel="1" x14ac:dyDescent="0.35">
      <c r="B334" s="464" t="s">
        <v>1</v>
      </c>
      <c r="C334" s="516"/>
      <c r="D334" s="477">
        <f t="shared" ref="D334:BC334" si="266">SUM(D329:D333)</f>
        <v>0</v>
      </c>
      <c r="E334" s="478">
        <f t="shared" si="266"/>
        <v>0</v>
      </c>
      <c r="F334" s="479">
        <f t="shared" si="266"/>
        <v>0</v>
      </c>
      <c r="G334" s="479">
        <f t="shared" si="266"/>
        <v>0</v>
      </c>
      <c r="H334" s="479">
        <f t="shared" si="266"/>
        <v>0</v>
      </c>
      <c r="I334" s="479">
        <f t="shared" si="266"/>
        <v>0</v>
      </c>
      <c r="J334" s="479">
        <f t="shared" si="266"/>
        <v>0</v>
      </c>
      <c r="K334" s="479">
        <f t="shared" si="266"/>
        <v>0</v>
      </c>
      <c r="L334" s="479">
        <f t="shared" si="266"/>
        <v>0</v>
      </c>
      <c r="M334" s="479">
        <f t="shared" si="266"/>
        <v>0</v>
      </c>
      <c r="N334" s="479">
        <f t="shared" si="266"/>
        <v>0</v>
      </c>
      <c r="O334" s="479">
        <f t="shared" si="266"/>
        <v>0</v>
      </c>
      <c r="P334" s="479">
        <f t="shared" si="266"/>
        <v>0</v>
      </c>
      <c r="Q334" s="479">
        <f t="shared" si="266"/>
        <v>0</v>
      </c>
      <c r="R334" s="479">
        <f t="shared" si="266"/>
        <v>0</v>
      </c>
      <c r="S334" s="479">
        <f t="shared" si="266"/>
        <v>0</v>
      </c>
      <c r="T334" s="479">
        <f t="shared" si="266"/>
        <v>0</v>
      </c>
      <c r="U334" s="479">
        <f t="shared" si="266"/>
        <v>0</v>
      </c>
      <c r="V334" s="479">
        <f t="shared" si="266"/>
        <v>0</v>
      </c>
      <c r="W334" s="479">
        <f t="shared" si="266"/>
        <v>0</v>
      </c>
      <c r="X334" s="479">
        <f t="shared" si="266"/>
        <v>0</v>
      </c>
      <c r="Y334" s="479">
        <f t="shared" si="266"/>
        <v>0</v>
      </c>
      <c r="Z334" s="478">
        <f t="shared" si="266"/>
        <v>0</v>
      </c>
      <c r="AA334" s="478">
        <f t="shared" si="266"/>
        <v>0</v>
      </c>
      <c r="AB334" s="478">
        <f t="shared" si="266"/>
        <v>0</v>
      </c>
      <c r="AC334" s="479">
        <f t="shared" si="266"/>
        <v>0</v>
      </c>
      <c r="AD334" s="479">
        <f t="shared" ref="AD334" si="267">SUM(AD329:AD333)</f>
        <v>0</v>
      </c>
      <c r="AE334" s="479">
        <f t="shared" si="266"/>
        <v>0</v>
      </c>
      <c r="AF334" s="479">
        <f t="shared" si="266"/>
        <v>0</v>
      </c>
      <c r="AG334" s="479">
        <f t="shared" si="266"/>
        <v>0</v>
      </c>
      <c r="AH334" s="479">
        <f t="shared" si="266"/>
        <v>0</v>
      </c>
      <c r="AI334" s="523">
        <f t="shared" si="266"/>
        <v>0</v>
      </c>
      <c r="AJ334" s="523"/>
      <c r="AK334" s="523"/>
      <c r="AL334" s="523"/>
      <c r="AM334" s="523"/>
      <c r="AN334" s="523"/>
      <c r="AO334" s="523"/>
      <c r="AP334" s="479">
        <f t="shared" si="266"/>
        <v>0</v>
      </c>
      <c r="AQ334" s="479">
        <f t="shared" si="266"/>
        <v>0</v>
      </c>
      <c r="AR334" s="479">
        <f t="shared" si="266"/>
        <v>0</v>
      </c>
      <c r="AS334" s="479">
        <f t="shared" ref="AS334" si="268">SUM(AS329:AS333)</f>
        <v>0</v>
      </c>
      <c r="AT334" s="479"/>
      <c r="AU334" s="479"/>
      <c r="AV334" s="479"/>
      <c r="AW334" s="478"/>
      <c r="AX334" s="478"/>
      <c r="AY334" s="479"/>
      <c r="AZ334" s="479"/>
      <c r="BB334" s="477">
        <f t="shared" si="266"/>
        <v>0</v>
      </c>
      <c r="BC334" s="477">
        <f t="shared" si="266"/>
        <v>0</v>
      </c>
      <c r="BD334" s="444"/>
      <c r="BF334" s="336"/>
    </row>
    <row r="335" spans="1:58" hidden="1" outlineLevel="1" x14ac:dyDescent="0.35">
      <c r="B335" s="464"/>
      <c r="C335" s="516"/>
      <c r="D335" s="476"/>
      <c r="E335" s="420"/>
      <c r="F335" s="173"/>
      <c r="G335" s="173"/>
      <c r="H335" s="173"/>
      <c r="I335" s="173"/>
      <c r="J335" s="173"/>
      <c r="K335" s="173"/>
      <c r="L335" s="173"/>
      <c r="M335" s="173"/>
      <c r="N335" s="173"/>
      <c r="O335" s="173"/>
      <c r="P335" s="173"/>
      <c r="Q335" s="173"/>
      <c r="R335" s="173"/>
      <c r="S335" s="173"/>
      <c r="T335" s="173"/>
      <c r="U335" s="173"/>
      <c r="V335" s="173"/>
      <c r="W335" s="173"/>
      <c r="X335" s="173"/>
      <c r="Y335" s="173"/>
      <c r="Z335" s="420"/>
      <c r="AA335" s="420"/>
      <c r="AB335" s="420"/>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420"/>
      <c r="AX335" s="420"/>
      <c r="AY335" s="173"/>
      <c r="AZ335" s="173"/>
      <c r="BB335" s="476"/>
      <c r="BC335" s="476"/>
      <c r="BD335" s="444"/>
      <c r="BF335" s="336"/>
    </row>
    <row r="336" spans="1:58" hidden="1" outlineLevel="1" x14ac:dyDescent="0.35">
      <c r="B336" s="480" t="s">
        <v>59</v>
      </c>
      <c r="C336" s="516"/>
      <c r="D336" s="470"/>
      <c r="E336" s="420"/>
      <c r="F336" s="173"/>
      <c r="G336" s="173"/>
      <c r="H336" s="173"/>
      <c r="I336" s="173"/>
      <c r="J336" s="173"/>
      <c r="K336" s="173"/>
      <c r="L336" s="173"/>
      <c r="M336" s="173"/>
      <c r="N336" s="173"/>
      <c r="O336" s="173"/>
      <c r="P336" s="173"/>
      <c r="Q336" s="173"/>
      <c r="R336" s="173"/>
      <c r="S336" s="173"/>
      <c r="T336" s="173"/>
      <c r="U336" s="173"/>
      <c r="V336" s="173"/>
      <c r="W336" s="173"/>
      <c r="X336" s="173"/>
      <c r="Y336" s="173"/>
      <c r="Z336" s="518"/>
      <c r="AA336" s="420"/>
      <c r="AB336" s="420"/>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420"/>
      <c r="AX336" s="420"/>
      <c r="AY336" s="173"/>
      <c r="AZ336" s="173"/>
      <c r="BB336" s="470">
        <f t="shared" ref="BB336:BB349" si="269">SUM(E336:AZ336)</f>
        <v>0</v>
      </c>
      <c r="BC336" s="476">
        <f t="shared" ref="BC336:BC349" si="270">+BB336+D336</f>
        <v>0</v>
      </c>
      <c r="BD336" s="444"/>
      <c r="BF336" s="336"/>
    </row>
    <row r="337" spans="2:58" hidden="1" outlineLevel="1" x14ac:dyDescent="0.35">
      <c r="B337" s="464" t="s">
        <v>60</v>
      </c>
      <c r="C337" s="516"/>
      <c r="D337" s="470"/>
      <c r="E337" s="471"/>
      <c r="F337" s="472"/>
      <c r="G337" s="472"/>
      <c r="H337" s="472"/>
      <c r="I337" s="472"/>
      <c r="J337" s="472"/>
      <c r="K337" s="472"/>
      <c r="L337" s="472"/>
      <c r="M337" s="472"/>
      <c r="N337" s="472"/>
      <c r="O337" s="472"/>
      <c r="P337" s="472"/>
      <c r="Q337" s="472"/>
      <c r="R337" s="472"/>
      <c r="S337" s="472"/>
      <c r="T337" s="472"/>
      <c r="U337" s="472"/>
      <c r="V337" s="472"/>
      <c r="W337" s="472"/>
      <c r="X337" s="472"/>
      <c r="Y337" s="472"/>
      <c r="Z337" s="518"/>
      <c r="AA337" s="471"/>
      <c r="AB337" s="471"/>
      <c r="AC337" s="472"/>
      <c r="AD337" s="472"/>
      <c r="AE337" s="472"/>
      <c r="AF337" s="472"/>
      <c r="AG337" s="472"/>
      <c r="AH337" s="472"/>
      <c r="AI337" s="472"/>
      <c r="AJ337" s="472"/>
      <c r="AK337" s="472"/>
      <c r="AL337" s="472"/>
      <c r="AM337" s="472"/>
      <c r="AN337" s="472"/>
      <c r="AO337" s="472"/>
      <c r="AP337" s="472"/>
      <c r="AQ337" s="472"/>
      <c r="AR337" s="472"/>
      <c r="AS337" s="472"/>
      <c r="AT337" s="472"/>
      <c r="AU337" s="472"/>
      <c r="AV337" s="472"/>
      <c r="AW337" s="471"/>
      <c r="AX337" s="471"/>
      <c r="AY337" s="472"/>
      <c r="AZ337" s="472"/>
      <c r="BB337" s="470">
        <f t="shared" si="269"/>
        <v>0</v>
      </c>
      <c r="BC337" s="470">
        <f t="shared" si="270"/>
        <v>0</v>
      </c>
      <c r="BD337" s="444"/>
      <c r="BF337" s="336"/>
    </row>
    <row r="338" spans="2:58" hidden="1" outlineLevel="1" x14ac:dyDescent="0.35">
      <c r="B338" s="464" t="s">
        <v>61</v>
      </c>
      <c r="C338" s="516"/>
      <c r="D338" s="470"/>
      <c r="E338" s="471"/>
      <c r="F338" s="472"/>
      <c r="G338" s="472"/>
      <c r="H338" s="472"/>
      <c r="I338" s="472"/>
      <c r="J338" s="472"/>
      <c r="K338" s="472"/>
      <c r="L338" s="472"/>
      <c r="M338" s="472"/>
      <c r="N338" s="472"/>
      <c r="O338" s="472"/>
      <c r="P338" s="472"/>
      <c r="Q338" s="472"/>
      <c r="R338" s="472"/>
      <c r="S338" s="472"/>
      <c r="T338" s="472"/>
      <c r="U338" s="472"/>
      <c r="V338" s="472"/>
      <c r="W338" s="472"/>
      <c r="X338" s="472"/>
      <c r="Y338" s="472"/>
      <c r="Z338" s="518"/>
      <c r="AA338" s="471"/>
      <c r="AB338" s="471"/>
      <c r="AC338" s="472"/>
      <c r="AD338" s="472"/>
      <c r="AE338" s="472"/>
      <c r="AF338" s="472"/>
      <c r="AG338" s="472"/>
      <c r="AH338" s="472"/>
      <c r="AI338" s="472"/>
      <c r="AJ338" s="472"/>
      <c r="AK338" s="472"/>
      <c r="AL338" s="472"/>
      <c r="AM338" s="472"/>
      <c r="AN338" s="472"/>
      <c r="AO338" s="472"/>
      <c r="AP338" s="472"/>
      <c r="AQ338" s="472"/>
      <c r="AR338" s="472"/>
      <c r="AS338" s="472"/>
      <c r="AT338" s="472"/>
      <c r="AU338" s="472"/>
      <c r="AV338" s="472"/>
      <c r="AW338" s="471"/>
      <c r="AX338" s="471"/>
      <c r="AY338" s="472"/>
      <c r="AZ338" s="472"/>
      <c r="BB338" s="470">
        <f t="shared" si="269"/>
        <v>0</v>
      </c>
      <c r="BC338" s="470">
        <f t="shared" si="270"/>
        <v>0</v>
      </c>
      <c r="BD338" s="444"/>
      <c r="BF338" s="336"/>
    </row>
    <row r="339" spans="2:58" hidden="1" outlineLevel="1" x14ac:dyDescent="0.35">
      <c r="B339" s="464" t="s">
        <v>62</v>
      </c>
      <c r="C339" s="516"/>
      <c r="D339" s="470"/>
      <c r="E339" s="471">
        <f>'Common Adj'!$O$64</f>
        <v>0</v>
      </c>
      <c r="F339" s="471"/>
      <c r="G339" s="471"/>
      <c r="H339" s="471"/>
      <c r="I339" s="471"/>
      <c r="J339" s="472"/>
      <c r="K339" s="472"/>
      <c r="L339" s="472"/>
      <c r="M339" s="472"/>
      <c r="N339" s="472"/>
      <c r="O339" s="472"/>
      <c r="P339" s="472"/>
      <c r="Q339" s="472"/>
      <c r="R339" s="472"/>
      <c r="S339" s="472"/>
      <c r="T339" s="472"/>
      <c r="U339" s="472"/>
      <c r="V339" s="472"/>
      <c r="W339" s="472"/>
      <c r="X339" s="472"/>
      <c r="Y339" s="472"/>
      <c r="Z339" s="518"/>
      <c r="AA339" s="471"/>
      <c r="AB339" s="471"/>
      <c r="AC339" s="472"/>
      <c r="AD339" s="472"/>
      <c r="AE339" s="472"/>
      <c r="AF339" s="472"/>
      <c r="AG339" s="472"/>
      <c r="AH339" s="472"/>
      <c r="AI339" s="472"/>
      <c r="AJ339" s="472"/>
      <c r="AK339" s="472"/>
      <c r="AL339" s="472"/>
      <c r="AM339" s="472"/>
      <c r="AN339" s="472"/>
      <c r="AO339" s="472"/>
      <c r="AP339" s="472"/>
      <c r="AQ339" s="472"/>
      <c r="AR339" s="472"/>
      <c r="AS339" s="472"/>
      <c r="AT339" s="472"/>
      <c r="AU339" s="472"/>
      <c r="AV339" s="472"/>
      <c r="AW339" s="471"/>
      <c r="AX339" s="471"/>
      <c r="AY339" s="472"/>
      <c r="AZ339" s="472"/>
      <c r="BB339" s="470">
        <f t="shared" si="269"/>
        <v>0</v>
      </c>
      <c r="BC339" s="470">
        <f t="shared" si="270"/>
        <v>0</v>
      </c>
      <c r="BD339" s="444"/>
      <c r="BF339" s="336"/>
    </row>
    <row r="340" spans="2:58" hidden="1" outlineLevel="1" x14ac:dyDescent="0.35">
      <c r="B340" s="464" t="s">
        <v>63</v>
      </c>
      <c r="C340" s="516"/>
      <c r="D340" s="470"/>
      <c r="E340" s="471"/>
      <c r="F340" s="471"/>
      <c r="G340" s="471"/>
      <c r="H340" s="471"/>
      <c r="I340" s="471"/>
      <c r="J340" s="472"/>
      <c r="K340" s="472"/>
      <c r="L340" s="472"/>
      <c r="M340" s="472"/>
      <c r="N340" s="472"/>
      <c r="O340" s="472"/>
      <c r="P340" s="472"/>
      <c r="Q340" s="472"/>
      <c r="R340" s="472"/>
      <c r="S340" s="472"/>
      <c r="T340" s="472"/>
      <c r="U340" s="472"/>
      <c r="V340" s="472"/>
      <c r="W340" s="472"/>
      <c r="X340" s="472"/>
      <c r="Y340" s="472"/>
      <c r="Z340" s="518"/>
      <c r="AA340" s="471"/>
      <c r="AB340" s="471"/>
      <c r="AC340" s="472"/>
      <c r="AD340" s="472"/>
      <c r="AE340" s="472"/>
      <c r="AF340" s="472"/>
      <c r="AG340" s="472"/>
      <c r="AH340" s="472"/>
      <c r="AI340" s="472"/>
      <c r="AJ340" s="472"/>
      <c r="AK340" s="472"/>
      <c r="AL340" s="472"/>
      <c r="AM340" s="472"/>
      <c r="AN340" s="472"/>
      <c r="AO340" s="472"/>
      <c r="AP340" s="472"/>
      <c r="AQ340" s="472"/>
      <c r="AR340" s="472"/>
      <c r="AS340" s="472"/>
      <c r="AT340" s="472"/>
      <c r="AU340" s="472"/>
      <c r="AV340" s="472"/>
      <c r="AW340" s="471"/>
      <c r="AX340" s="471"/>
      <c r="AY340" s="472"/>
      <c r="AZ340" s="472"/>
      <c r="BB340" s="470">
        <f t="shared" si="269"/>
        <v>0</v>
      </c>
      <c r="BC340" s="470">
        <f t="shared" si="270"/>
        <v>0</v>
      </c>
      <c r="BD340" s="444"/>
      <c r="BF340" s="336"/>
    </row>
    <row r="341" spans="2:58" hidden="1" outlineLevel="1" x14ac:dyDescent="0.35">
      <c r="B341" s="464" t="s">
        <v>64</v>
      </c>
      <c r="C341" s="516"/>
      <c r="D341" s="470"/>
      <c r="E341" s="471"/>
      <c r="F341" s="471"/>
      <c r="G341" s="471"/>
      <c r="H341" s="471"/>
      <c r="I341" s="471"/>
      <c r="J341" s="472"/>
      <c r="K341" s="472"/>
      <c r="L341" s="472"/>
      <c r="M341" s="472"/>
      <c r="N341" s="472"/>
      <c r="O341" s="472"/>
      <c r="P341" s="472"/>
      <c r="Q341" s="472"/>
      <c r="R341" s="472"/>
      <c r="S341" s="472"/>
      <c r="T341" s="472"/>
      <c r="U341" s="511"/>
      <c r="V341" s="472"/>
      <c r="W341" s="472"/>
      <c r="X341" s="472"/>
      <c r="Y341" s="472"/>
      <c r="Z341" s="518"/>
      <c r="AA341" s="471"/>
      <c r="AB341" s="471"/>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1"/>
      <c r="AX341" s="471"/>
      <c r="AY341" s="472"/>
      <c r="AZ341" s="472"/>
      <c r="BB341" s="470">
        <f t="shared" si="269"/>
        <v>0</v>
      </c>
      <c r="BC341" s="470">
        <f t="shared" si="270"/>
        <v>0</v>
      </c>
      <c r="BD341" s="444"/>
      <c r="BF341" s="336"/>
    </row>
    <row r="342" spans="2:58" hidden="1" outlineLevel="1" x14ac:dyDescent="0.35">
      <c r="B342" s="464" t="s">
        <v>65</v>
      </c>
      <c r="C342" s="516"/>
      <c r="D342" s="470"/>
      <c r="E342" s="471">
        <f>'Common Adj'!$O$65</f>
        <v>0</v>
      </c>
      <c r="F342" s="471"/>
      <c r="G342" s="471"/>
      <c r="H342" s="471"/>
      <c r="I342" s="471"/>
      <c r="J342" s="472"/>
      <c r="K342" s="472"/>
      <c r="L342" s="472"/>
      <c r="M342" s="472"/>
      <c r="N342" s="472"/>
      <c r="O342" s="472"/>
      <c r="P342" s="472"/>
      <c r="Q342" s="472"/>
      <c r="R342" s="472"/>
      <c r="S342" s="472"/>
      <c r="T342" s="472"/>
      <c r="U342" s="472"/>
      <c r="V342" s="472"/>
      <c r="W342" s="472"/>
      <c r="X342" s="472"/>
      <c r="Y342" s="472"/>
      <c r="Z342" s="518"/>
      <c r="AA342" s="471"/>
      <c r="AB342" s="471"/>
      <c r="AC342" s="472"/>
      <c r="AD342" s="472"/>
      <c r="AE342" s="472"/>
      <c r="AF342" s="472"/>
      <c r="AG342" s="472"/>
      <c r="AH342" s="472"/>
      <c r="AI342" s="472"/>
      <c r="AJ342" s="472"/>
      <c r="AK342" s="472"/>
      <c r="AL342" s="472"/>
      <c r="AM342" s="472"/>
      <c r="AN342" s="472"/>
      <c r="AO342" s="472"/>
      <c r="AP342" s="472"/>
      <c r="AQ342" s="472"/>
      <c r="AR342" s="472"/>
      <c r="AS342" s="472"/>
      <c r="AT342" s="472"/>
      <c r="AU342" s="472"/>
      <c r="AV342" s="472"/>
      <c r="AW342" s="471"/>
      <c r="AX342" s="471"/>
      <c r="AY342" s="472"/>
      <c r="AZ342" s="472"/>
      <c r="BB342" s="470">
        <f t="shared" si="269"/>
        <v>0</v>
      </c>
      <c r="BC342" s="470">
        <f t="shared" si="270"/>
        <v>0</v>
      </c>
      <c r="BD342" s="444"/>
      <c r="BF342" s="336"/>
    </row>
    <row r="343" spans="2:58" hidden="1" outlineLevel="1" x14ac:dyDescent="0.35">
      <c r="B343" s="464" t="s">
        <v>66</v>
      </c>
      <c r="C343" s="516"/>
      <c r="D343" s="470"/>
      <c r="E343" s="341"/>
      <c r="F343" s="341"/>
      <c r="G343" s="341"/>
      <c r="H343" s="341"/>
      <c r="I343" s="341"/>
      <c r="Y343" s="472"/>
      <c r="Z343" s="518"/>
      <c r="AA343" s="471"/>
      <c r="AB343" s="341"/>
      <c r="AD343" s="265"/>
      <c r="AE343" s="265"/>
      <c r="AF343" s="265"/>
      <c r="AG343" s="265"/>
      <c r="AH343" s="265"/>
      <c r="AI343" s="265"/>
      <c r="AJ343" s="265"/>
      <c r="AK343" s="265"/>
      <c r="AL343" s="265"/>
      <c r="AM343" s="265"/>
      <c r="AN343" s="265"/>
      <c r="AO343" s="265"/>
      <c r="AS343" s="329"/>
      <c r="AT343" s="173"/>
      <c r="AW343" s="471"/>
      <c r="AX343" s="341"/>
      <c r="BB343" s="470">
        <f t="shared" si="269"/>
        <v>0</v>
      </c>
      <c r="BC343" s="470">
        <f t="shared" si="270"/>
        <v>0</v>
      </c>
      <c r="BD343" s="444"/>
      <c r="BF343" s="336"/>
    </row>
    <row r="344" spans="2:58" hidden="1" outlineLevel="1" x14ac:dyDescent="0.35">
      <c r="B344" s="464" t="s">
        <v>67</v>
      </c>
      <c r="C344" s="516"/>
      <c r="D344" s="470"/>
      <c r="E344" s="471"/>
      <c r="F344" s="471"/>
      <c r="G344" s="471"/>
      <c r="H344" s="471"/>
      <c r="I344" s="471"/>
      <c r="J344" s="472"/>
      <c r="K344" s="472"/>
      <c r="L344" s="472"/>
      <c r="M344" s="472"/>
      <c r="N344" s="472"/>
      <c r="O344" s="472"/>
      <c r="P344" s="472"/>
      <c r="Q344" s="472"/>
      <c r="R344" s="472"/>
      <c r="S344" s="472"/>
      <c r="T344" s="472"/>
      <c r="U344" s="472"/>
      <c r="V344" s="472"/>
      <c r="W344" s="472"/>
      <c r="X344" s="472"/>
      <c r="Y344" s="472"/>
      <c r="Z344" s="720"/>
      <c r="AA344" s="471"/>
      <c r="AB344" s="471"/>
      <c r="AC344" s="472"/>
      <c r="AD344" s="472"/>
      <c r="AE344" s="472"/>
      <c r="AF344" s="472"/>
      <c r="AG344" s="472"/>
      <c r="AH344" s="472"/>
      <c r="AI344" s="472"/>
      <c r="AJ344" s="472"/>
      <c r="AK344" s="472"/>
      <c r="AL344" s="472"/>
      <c r="AM344" s="472"/>
      <c r="AN344" s="472"/>
      <c r="AO344" s="472"/>
      <c r="AP344" s="472"/>
      <c r="AQ344" s="472"/>
      <c r="AR344" s="472"/>
      <c r="AS344" s="472"/>
      <c r="AT344" s="472"/>
      <c r="AU344" s="472"/>
      <c r="AV344" s="472"/>
      <c r="AW344" s="471"/>
      <c r="AX344" s="471"/>
      <c r="AY344" s="472"/>
      <c r="AZ344" s="472"/>
      <c r="BB344" s="470">
        <f t="shared" si="269"/>
        <v>0</v>
      </c>
      <c r="BC344" s="470">
        <f t="shared" si="270"/>
        <v>0</v>
      </c>
      <c r="BD344" s="444"/>
      <c r="BF344" s="336"/>
    </row>
    <row r="345" spans="2:58" hidden="1" outlineLevel="1" x14ac:dyDescent="0.35">
      <c r="B345" s="480" t="s">
        <v>68</v>
      </c>
      <c r="C345" s="516"/>
      <c r="D345" s="470"/>
      <c r="E345" s="471"/>
      <c r="F345" s="471"/>
      <c r="G345" s="471"/>
      <c r="H345" s="471"/>
      <c r="I345" s="471"/>
      <c r="J345" s="472"/>
      <c r="K345" s="472"/>
      <c r="L345" s="472"/>
      <c r="M345" s="472"/>
      <c r="N345" s="472"/>
      <c r="O345" s="472"/>
      <c r="P345" s="472"/>
      <c r="Q345" s="472"/>
      <c r="R345" s="472"/>
      <c r="S345" s="472"/>
      <c r="T345" s="472"/>
      <c r="U345" s="472"/>
      <c r="V345" s="472"/>
      <c r="W345" s="472"/>
      <c r="X345" s="472"/>
      <c r="Y345" s="472"/>
      <c r="Z345" s="720"/>
      <c r="AA345" s="471"/>
      <c r="AB345" s="471"/>
      <c r="AC345" s="472"/>
      <c r="AD345" s="472"/>
      <c r="AE345" s="472"/>
      <c r="AF345" s="472"/>
      <c r="AG345" s="472"/>
      <c r="AH345" s="472"/>
      <c r="AI345" s="472"/>
      <c r="AJ345" s="472"/>
      <c r="AK345" s="472"/>
      <c r="AL345" s="472"/>
      <c r="AM345" s="472"/>
      <c r="AN345" s="472"/>
      <c r="AO345" s="472"/>
      <c r="AP345" s="472"/>
      <c r="AQ345" s="472"/>
      <c r="AR345" s="472"/>
      <c r="AS345" s="472"/>
      <c r="AT345" s="472"/>
      <c r="AU345" s="472"/>
      <c r="AV345" s="472"/>
      <c r="AW345" s="471"/>
      <c r="AX345" s="471"/>
      <c r="AY345" s="472"/>
      <c r="AZ345" s="472"/>
      <c r="BB345" s="470">
        <f t="shared" si="269"/>
        <v>0</v>
      </c>
      <c r="BC345" s="470">
        <f t="shared" si="270"/>
        <v>0</v>
      </c>
      <c r="BD345" s="444"/>
      <c r="BF345" s="336"/>
    </row>
    <row r="346" spans="2:58" hidden="1" outlineLevel="1" x14ac:dyDescent="0.35">
      <c r="B346" s="464" t="s">
        <v>69</v>
      </c>
      <c r="C346" s="516"/>
      <c r="D346" s="470"/>
      <c r="E346" s="471"/>
      <c r="F346" s="471"/>
      <c r="G346" s="471"/>
      <c r="H346" s="471"/>
      <c r="I346" s="471"/>
      <c r="J346" s="472"/>
      <c r="K346" s="472"/>
      <c r="L346" s="472"/>
      <c r="M346" s="472"/>
      <c r="N346" s="472"/>
      <c r="O346" s="472"/>
      <c r="P346" s="472"/>
      <c r="Q346" s="472"/>
      <c r="R346" s="472"/>
      <c r="S346" s="472"/>
      <c r="T346" s="472"/>
      <c r="U346" s="472"/>
      <c r="V346" s="472"/>
      <c r="W346" s="472"/>
      <c r="X346" s="472"/>
      <c r="Y346" s="472"/>
      <c r="Z346" s="518"/>
      <c r="AA346" s="471"/>
      <c r="AB346" s="471"/>
      <c r="AC346" s="472"/>
      <c r="AD346" s="472"/>
      <c r="AE346" s="472"/>
      <c r="AF346" s="472"/>
      <c r="AG346" s="472"/>
      <c r="AH346" s="472"/>
      <c r="AI346" s="472"/>
      <c r="AJ346" s="472"/>
      <c r="AK346" s="472"/>
      <c r="AL346" s="472"/>
      <c r="AM346" s="472"/>
      <c r="AN346" s="472"/>
      <c r="AO346" s="472"/>
      <c r="AP346" s="472"/>
      <c r="AQ346" s="472"/>
      <c r="AR346" s="472"/>
      <c r="AS346" s="472"/>
      <c r="AT346" s="472"/>
      <c r="AU346" s="472"/>
      <c r="AV346" s="511"/>
      <c r="AW346" s="471"/>
      <c r="AX346" s="471"/>
      <c r="AY346" s="472"/>
      <c r="AZ346" s="472"/>
      <c r="BB346" s="470">
        <f t="shared" si="269"/>
        <v>0</v>
      </c>
      <c r="BC346" s="470">
        <f t="shared" si="270"/>
        <v>0</v>
      </c>
      <c r="BD346" s="444"/>
      <c r="BF346" s="336"/>
    </row>
    <row r="347" spans="2:58" hidden="1" outlineLevel="1" x14ac:dyDescent="0.35">
      <c r="B347" s="464" t="s">
        <v>70</v>
      </c>
      <c r="C347" s="516"/>
      <c r="D347" s="470"/>
      <c r="E347" s="471">
        <f>'Common Adj'!$O$66</f>
        <v>0</v>
      </c>
      <c r="F347" s="471"/>
      <c r="G347" s="471"/>
      <c r="H347" s="471"/>
      <c r="I347" s="471"/>
      <c r="J347" s="472"/>
      <c r="K347" s="472"/>
      <c r="L347" s="472"/>
      <c r="M347" s="472"/>
      <c r="N347" s="472"/>
      <c r="O347" s="472"/>
      <c r="P347" s="472"/>
      <c r="Q347" s="472"/>
      <c r="R347" s="472"/>
      <c r="S347" s="472"/>
      <c r="T347" s="472"/>
      <c r="U347" s="472"/>
      <c r="V347" s="472"/>
      <c r="W347" s="472"/>
      <c r="X347" s="472"/>
      <c r="Y347" s="472"/>
      <c r="Z347" s="720"/>
      <c r="AA347" s="471"/>
      <c r="AB347" s="471"/>
      <c r="AC347" s="472"/>
      <c r="AD347" s="472"/>
      <c r="AE347" s="472"/>
      <c r="AF347" s="472"/>
      <c r="AG347" s="472"/>
      <c r="AH347" s="472"/>
      <c r="AI347" s="472"/>
      <c r="AJ347" s="472"/>
      <c r="AK347" s="472"/>
      <c r="AL347" s="472"/>
      <c r="AM347" s="472"/>
      <c r="AN347" s="472"/>
      <c r="AO347" s="472"/>
      <c r="AP347" s="472"/>
      <c r="AQ347" s="472"/>
      <c r="AR347" s="472"/>
      <c r="AS347" s="472"/>
      <c r="AT347" s="472"/>
      <c r="AU347" s="472"/>
      <c r="AV347" s="472"/>
      <c r="AW347" s="471"/>
      <c r="AX347" s="471"/>
      <c r="AY347" s="472"/>
      <c r="AZ347" s="472"/>
      <c r="BB347" s="470">
        <f t="shared" si="269"/>
        <v>0</v>
      </c>
      <c r="BC347" s="470">
        <f t="shared" si="270"/>
        <v>0</v>
      </c>
      <c r="BD347" s="444"/>
      <c r="BF347" s="336"/>
    </row>
    <row r="348" spans="2:58" hidden="1" outlineLevel="1" x14ac:dyDescent="0.35">
      <c r="B348" s="464" t="s">
        <v>71</v>
      </c>
      <c r="C348" s="516"/>
      <c r="D348" s="470"/>
      <c r="E348" s="471">
        <f>'Common Adj'!$O$70</f>
        <v>0</v>
      </c>
      <c r="F348" s="471"/>
      <c r="G348" s="471"/>
      <c r="H348" s="471"/>
      <c r="I348" s="471">
        <f>'Common Adj'!CI23</f>
        <v>0</v>
      </c>
      <c r="J348" s="472"/>
      <c r="K348" s="472"/>
      <c r="L348" s="472"/>
      <c r="M348" s="472"/>
      <c r="N348" s="472"/>
      <c r="O348" s="472"/>
      <c r="P348" s="472"/>
      <c r="Q348" s="472"/>
      <c r="R348" s="472"/>
      <c r="S348" s="472"/>
      <c r="T348" s="472"/>
      <c r="U348" s="472"/>
      <c r="V348" s="472"/>
      <c r="W348" s="472"/>
      <c r="X348" s="472"/>
      <c r="Y348" s="472"/>
      <c r="Z348" s="720"/>
      <c r="AA348" s="471"/>
      <c r="AB348" s="471"/>
      <c r="AC348" s="472"/>
      <c r="AD348" s="472"/>
      <c r="AE348" s="472"/>
      <c r="AF348" s="472"/>
      <c r="AG348" s="472"/>
      <c r="AH348" s="472"/>
      <c r="AI348" s="511"/>
      <c r="AJ348" s="511"/>
      <c r="AK348" s="511"/>
      <c r="AL348" s="511"/>
      <c r="AM348" s="511"/>
      <c r="AN348" s="511"/>
      <c r="AO348" s="511"/>
      <c r="AP348" s="472"/>
      <c r="AQ348" s="472"/>
      <c r="AR348" s="472"/>
      <c r="AS348" s="472"/>
      <c r="AT348" s="481"/>
      <c r="AU348" s="472"/>
      <c r="AV348" s="511"/>
      <c r="AW348" s="471"/>
      <c r="AX348" s="471"/>
      <c r="AY348" s="472"/>
      <c r="AZ348" s="472"/>
      <c r="BB348" s="470">
        <f t="shared" si="269"/>
        <v>0</v>
      </c>
      <c r="BC348" s="470">
        <f t="shared" si="270"/>
        <v>0</v>
      </c>
      <c r="BD348" s="444"/>
      <c r="BF348" s="336"/>
    </row>
    <row r="349" spans="2:58" hidden="1" outlineLevel="1" x14ac:dyDescent="0.35">
      <c r="B349" s="329" t="s">
        <v>72</v>
      </c>
      <c r="C349" s="516"/>
      <c r="D349" s="470"/>
      <c r="E349" s="471"/>
      <c r="F349" s="471"/>
      <c r="G349" s="471"/>
      <c r="H349" s="471"/>
      <c r="I349" s="471"/>
      <c r="J349" s="472"/>
      <c r="K349" s="472"/>
      <c r="L349" s="472"/>
      <c r="M349" s="472"/>
      <c r="N349" s="472"/>
      <c r="O349" s="472"/>
      <c r="P349" s="472"/>
      <c r="Q349" s="472"/>
      <c r="R349" s="472"/>
      <c r="S349" s="472"/>
      <c r="T349" s="472"/>
      <c r="U349" s="472"/>
      <c r="V349" s="472"/>
      <c r="W349" s="472"/>
      <c r="X349" s="472"/>
      <c r="Y349" s="472"/>
      <c r="Z349" s="471"/>
      <c r="AA349" s="471"/>
      <c r="AB349" s="471"/>
      <c r="AC349" s="472"/>
      <c r="AD349" s="472"/>
      <c r="AE349" s="472"/>
      <c r="AF349" s="472"/>
      <c r="AG349" s="472"/>
      <c r="AH349" s="472"/>
      <c r="AI349" s="472"/>
      <c r="AJ349" s="472"/>
      <c r="AK349" s="472"/>
      <c r="AL349" s="472"/>
      <c r="AM349" s="472"/>
      <c r="AN349" s="472"/>
      <c r="AO349" s="472"/>
      <c r="AP349" s="472"/>
      <c r="AQ349" s="472"/>
      <c r="AR349" s="472"/>
      <c r="AS349" s="472"/>
      <c r="AT349" s="472"/>
      <c r="AU349" s="472"/>
      <c r="AV349" s="472"/>
      <c r="AW349" s="471"/>
      <c r="AX349" s="471"/>
      <c r="AY349" s="472"/>
      <c r="AZ349" s="472"/>
      <c r="BB349" s="470">
        <f t="shared" si="269"/>
        <v>0</v>
      </c>
      <c r="BC349" s="470">
        <f t="shared" si="270"/>
        <v>0</v>
      </c>
      <c r="BD349" s="444"/>
      <c r="BF349" s="336"/>
    </row>
    <row r="350" spans="2:58" hidden="1" outlineLevel="1" x14ac:dyDescent="0.35">
      <c r="B350" s="464" t="s">
        <v>2</v>
      </c>
      <c r="C350" s="516"/>
      <c r="D350" s="477">
        <f>SUM(D334:D349)</f>
        <v>0</v>
      </c>
      <c r="E350" s="479">
        <f t="shared" ref="E350:BC350" si="271">SUM(E334:E349)</f>
        <v>0</v>
      </c>
      <c r="F350" s="479">
        <f t="shared" si="271"/>
        <v>0</v>
      </c>
      <c r="G350" s="479">
        <f t="shared" si="271"/>
        <v>0</v>
      </c>
      <c r="H350" s="479">
        <f t="shared" si="271"/>
        <v>0</v>
      </c>
      <c r="I350" s="479">
        <f t="shared" si="271"/>
        <v>0</v>
      </c>
      <c r="J350" s="479">
        <f t="shared" si="271"/>
        <v>0</v>
      </c>
      <c r="K350" s="479">
        <f t="shared" si="271"/>
        <v>0</v>
      </c>
      <c r="L350" s="479">
        <f t="shared" si="271"/>
        <v>0</v>
      </c>
      <c r="M350" s="479">
        <f t="shared" si="271"/>
        <v>0</v>
      </c>
      <c r="N350" s="479">
        <f t="shared" si="271"/>
        <v>0</v>
      </c>
      <c r="O350" s="479">
        <f t="shared" si="271"/>
        <v>0</v>
      </c>
      <c r="P350" s="479">
        <f t="shared" si="271"/>
        <v>0</v>
      </c>
      <c r="Q350" s="479">
        <f t="shared" si="271"/>
        <v>0</v>
      </c>
      <c r="R350" s="479">
        <f t="shared" si="271"/>
        <v>0</v>
      </c>
      <c r="S350" s="479">
        <f t="shared" si="271"/>
        <v>0</v>
      </c>
      <c r="T350" s="479">
        <f t="shared" si="271"/>
        <v>0</v>
      </c>
      <c r="U350" s="479">
        <f t="shared" si="271"/>
        <v>0</v>
      </c>
      <c r="V350" s="479">
        <f t="shared" si="271"/>
        <v>0</v>
      </c>
      <c r="W350" s="479">
        <f t="shared" si="271"/>
        <v>0</v>
      </c>
      <c r="X350" s="479">
        <f t="shared" si="271"/>
        <v>0</v>
      </c>
      <c r="Y350" s="479">
        <f t="shared" si="271"/>
        <v>0</v>
      </c>
      <c r="Z350" s="523">
        <f t="shared" si="271"/>
        <v>0</v>
      </c>
      <c r="AA350" s="478">
        <f t="shared" si="271"/>
        <v>0</v>
      </c>
      <c r="AB350" s="478">
        <f t="shared" si="271"/>
        <v>0</v>
      </c>
      <c r="AC350" s="479">
        <f t="shared" si="271"/>
        <v>0</v>
      </c>
      <c r="AD350" s="479">
        <f t="shared" ref="AD350" si="272">SUM(AD334:AD349)</f>
        <v>0</v>
      </c>
      <c r="AE350" s="479">
        <f t="shared" si="271"/>
        <v>0</v>
      </c>
      <c r="AF350" s="479">
        <f t="shared" si="271"/>
        <v>0</v>
      </c>
      <c r="AG350" s="479">
        <f t="shared" si="271"/>
        <v>0</v>
      </c>
      <c r="AH350" s="479">
        <f t="shared" si="271"/>
        <v>0</v>
      </c>
      <c r="AI350" s="523">
        <f t="shared" si="271"/>
        <v>0</v>
      </c>
      <c r="AJ350" s="523"/>
      <c r="AK350" s="523"/>
      <c r="AL350" s="523"/>
      <c r="AM350" s="523"/>
      <c r="AN350" s="523"/>
      <c r="AO350" s="523"/>
      <c r="AP350" s="479">
        <f t="shared" si="271"/>
        <v>0</v>
      </c>
      <c r="AQ350" s="479">
        <f t="shared" si="271"/>
        <v>0</v>
      </c>
      <c r="AR350" s="479">
        <f t="shared" si="271"/>
        <v>0</v>
      </c>
      <c r="AS350" s="479">
        <f t="shared" ref="AS350" si="273">SUM(AS334:AS349)</f>
        <v>0</v>
      </c>
      <c r="AT350" s="479"/>
      <c r="AU350" s="479"/>
      <c r="AV350" s="479"/>
      <c r="AW350" s="478"/>
      <c r="AX350" s="478"/>
      <c r="AY350" s="479"/>
      <c r="AZ350" s="479"/>
      <c r="BB350" s="477">
        <f t="shared" si="271"/>
        <v>0</v>
      </c>
      <c r="BC350" s="477">
        <f t="shared" si="271"/>
        <v>0</v>
      </c>
      <c r="BD350" s="444"/>
      <c r="BF350" s="336"/>
    </row>
    <row r="351" spans="2:58" hidden="1" outlineLevel="1" x14ac:dyDescent="0.35">
      <c r="C351" s="516"/>
      <c r="D351" s="482"/>
      <c r="E351" s="483"/>
      <c r="F351" s="483"/>
      <c r="G351" s="483"/>
      <c r="H351" s="483"/>
      <c r="I351" s="483"/>
      <c r="J351" s="483"/>
      <c r="K351" s="483"/>
      <c r="L351" s="483"/>
      <c r="M351" s="483"/>
      <c r="N351" s="483"/>
      <c r="O351" s="483"/>
      <c r="P351" s="483"/>
      <c r="Q351" s="483"/>
      <c r="R351" s="483"/>
      <c r="S351" s="483"/>
      <c r="T351" s="483"/>
      <c r="U351" s="483"/>
      <c r="V351" s="483"/>
      <c r="W351" s="483"/>
      <c r="X351" s="483"/>
      <c r="Y351" s="483"/>
      <c r="Z351" s="363"/>
      <c r="AA351" s="363"/>
      <c r="AB351" s="363"/>
      <c r="AC351" s="483"/>
      <c r="AD351" s="483"/>
      <c r="AE351" s="483"/>
      <c r="AF351" s="483"/>
      <c r="AG351" s="483"/>
      <c r="AH351" s="483"/>
      <c r="AI351" s="483"/>
      <c r="AJ351" s="483"/>
      <c r="AK351" s="483"/>
      <c r="AL351" s="483"/>
      <c r="AM351" s="483"/>
      <c r="AN351" s="483"/>
      <c r="AO351" s="483"/>
      <c r="AP351" s="483"/>
      <c r="AQ351" s="483"/>
      <c r="AR351" s="483"/>
      <c r="AS351" s="483"/>
      <c r="AT351" s="483"/>
      <c r="AU351" s="483"/>
      <c r="AV351" s="483"/>
      <c r="AW351" s="363"/>
      <c r="AX351" s="363"/>
      <c r="AY351" s="483"/>
      <c r="AZ351" s="483"/>
      <c r="BB351" s="482"/>
      <c r="BC351" s="482"/>
      <c r="BD351" s="444"/>
      <c r="BF351" s="336"/>
    </row>
    <row r="352" spans="2:58" ht="15" hidden="1" outlineLevel="1" thickBot="1" x14ac:dyDescent="0.4">
      <c r="B352" s="329" t="s">
        <v>4</v>
      </c>
      <c r="C352" s="516"/>
      <c r="D352" s="484">
        <f>+D325-D350</f>
        <v>0</v>
      </c>
      <c r="E352" s="486">
        <f t="shared" ref="E352:BC352" si="274">+E325-E350</f>
        <v>0</v>
      </c>
      <c r="F352" s="486">
        <f t="shared" si="274"/>
        <v>0</v>
      </c>
      <c r="G352" s="486">
        <f t="shared" si="274"/>
        <v>0</v>
      </c>
      <c r="H352" s="486">
        <f t="shared" si="274"/>
        <v>0</v>
      </c>
      <c r="I352" s="486">
        <f t="shared" si="274"/>
        <v>0</v>
      </c>
      <c r="J352" s="486">
        <f t="shared" si="274"/>
        <v>0</v>
      </c>
      <c r="K352" s="486">
        <f t="shared" si="274"/>
        <v>0</v>
      </c>
      <c r="L352" s="486">
        <f t="shared" si="274"/>
        <v>0</v>
      </c>
      <c r="M352" s="486">
        <f t="shared" si="274"/>
        <v>0</v>
      </c>
      <c r="N352" s="486">
        <f t="shared" si="274"/>
        <v>0</v>
      </c>
      <c r="O352" s="486">
        <f t="shared" si="274"/>
        <v>0</v>
      </c>
      <c r="P352" s="486">
        <f t="shared" si="274"/>
        <v>0</v>
      </c>
      <c r="Q352" s="486">
        <f t="shared" si="274"/>
        <v>0</v>
      </c>
      <c r="R352" s="486">
        <f t="shared" si="274"/>
        <v>0</v>
      </c>
      <c r="S352" s="486">
        <f t="shared" si="274"/>
        <v>0</v>
      </c>
      <c r="T352" s="486">
        <f t="shared" si="274"/>
        <v>0</v>
      </c>
      <c r="U352" s="486">
        <f t="shared" si="274"/>
        <v>0</v>
      </c>
      <c r="V352" s="486">
        <f t="shared" si="274"/>
        <v>0</v>
      </c>
      <c r="W352" s="486">
        <f t="shared" si="274"/>
        <v>0</v>
      </c>
      <c r="X352" s="486">
        <f t="shared" si="274"/>
        <v>0</v>
      </c>
      <c r="Y352" s="486">
        <f t="shared" si="274"/>
        <v>0</v>
      </c>
      <c r="Z352" s="524">
        <f t="shared" si="274"/>
        <v>0</v>
      </c>
      <c r="AA352" s="485">
        <f t="shared" si="274"/>
        <v>0</v>
      </c>
      <c r="AB352" s="485">
        <f t="shared" si="274"/>
        <v>0</v>
      </c>
      <c r="AC352" s="486">
        <f t="shared" si="274"/>
        <v>0</v>
      </c>
      <c r="AD352" s="486">
        <f t="shared" ref="AD352" si="275">+AD325-AD350</f>
        <v>0</v>
      </c>
      <c r="AE352" s="486">
        <f t="shared" si="274"/>
        <v>0</v>
      </c>
      <c r="AF352" s="486">
        <f t="shared" si="274"/>
        <v>0</v>
      </c>
      <c r="AG352" s="486">
        <f t="shared" si="274"/>
        <v>0</v>
      </c>
      <c r="AH352" s="486">
        <f t="shared" si="274"/>
        <v>0</v>
      </c>
      <c r="AI352" s="524">
        <f t="shared" si="274"/>
        <v>0</v>
      </c>
      <c r="AJ352" s="524"/>
      <c r="AK352" s="524"/>
      <c r="AL352" s="524"/>
      <c r="AM352" s="524"/>
      <c r="AN352" s="524"/>
      <c r="AO352" s="524"/>
      <c r="AP352" s="486">
        <f t="shared" si="274"/>
        <v>0</v>
      </c>
      <c r="AQ352" s="486">
        <f t="shared" si="274"/>
        <v>0</v>
      </c>
      <c r="AR352" s="486">
        <f t="shared" si="274"/>
        <v>0</v>
      </c>
      <c r="AS352" s="486">
        <f t="shared" ref="AS352" si="276">+AS325-AS350</f>
        <v>0</v>
      </c>
      <c r="AT352" s="486"/>
      <c r="AU352" s="486"/>
      <c r="AV352" s="486"/>
      <c r="AW352" s="485"/>
      <c r="AX352" s="485"/>
      <c r="AY352" s="486"/>
      <c r="AZ352" s="486"/>
      <c r="BB352" s="484">
        <f t="shared" si="274"/>
        <v>0</v>
      </c>
      <c r="BC352" s="484">
        <f t="shared" si="274"/>
        <v>0</v>
      </c>
      <c r="BD352" s="444"/>
      <c r="BF352" s="336"/>
    </row>
    <row r="353" spans="2:58" ht="12" hidden="1" customHeight="1" outlineLevel="1" thickTop="1" x14ac:dyDescent="0.35">
      <c r="B353"/>
      <c r="C353" s="516"/>
      <c r="D353" s="219"/>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416"/>
      <c r="AA353" s="416"/>
      <c r="AB353" s="4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416"/>
      <c r="AX353" s="416"/>
      <c r="AY353" s="116"/>
      <c r="AZ353" s="116"/>
      <c r="BB353" s="219"/>
      <c r="BC353" s="219"/>
      <c r="BD353" s="444"/>
      <c r="BF353" s="336"/>
    </row>
    <row r="354" spans="2:58" hidden="1" outlineLevel="1" x14ac:dyDescent="0.35">
      <c r="B354" s="464" t="s">
        <v>124</v>
      </c>
      <c r="C354" s="516"/>
      <c r="D354" s="476">
        <f t="shared" ref="D354:BC354" si="277">D365</f>
        <v>0</v>
      </c>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420"/>
      <c r="AA354" s="420"/>
      <c r="AB354" s="420"/>
      <c r="AC354" s="173"/>
      <c r="AD354" s="173"/>
      <c r="AE354" s="173"/>
      <c r="AF354" s="173"/>
      <c r="AG354" s="173"/>
      <c r="AH354" s="173"/>
      <c r="AI354" s="173"/>
      <c r="AJ354" s="173"/>
      <c r="AK354" s="173"/>
      <c r="AL354" s="173"/>
      <c r="AM354" s="173"/>
      <c r="AN354" s="173"/>
      <c r="AO354" s="173"/>
      <c r="AP354" s="173"/>
      <c r="AQ354" s="173">
        <f>AQ365</f>
        <v>0</v>
      </c>
      <c r="AR354" s="173"/>
      <c r="AS354" s="173"/>
      <c r="AT354" s="173"/>
      <c r="AU354" s="173"/>
      <c r="AV354" s="173"/>
      <c r="AW354" s="420"/>
      <c r="AX354" s="420"/>
      <c r="AY354" s="173"/>
      <c r="AZ354" s="173"/>
      <c r="BB354" s="476">
        <f t="shared" si="277"/>
        <v>0</v>
      </c>
      <c r="BC354" s="476">
        <f t="shared" si="277"/>
        <v>0</v>
      </c>
      <c r="BD354" s="444"/>
      <c r="BF354" s="336"/>
    </row>
    <row r="355" spans="2:58" hidden="1" outlineLevel="1" x14ac:dyDescent="0.35">
      <c r="C355" s="516"/>
      <c r="D355" s="466"/>
      <c r="Z355" s="341"/>
      <c r="AA355" s="341"/>
      <c r="AB355" s="341"/>
      <c r="AS355" s="329"/>
      <c r="AW355" s="341"/>
      <c r="AX355" s="341"/>
      <c r="BB355" s="466"/>
      <c r="BC355" s="466"/>
      <c r="BD355" s="444"/>
      <c r="BF355" s="336"/>
    </row>
    <row r="356" spans="2:58" hidden="1" outlineLevel="1" x14ac:dyDescent="0.35">
      <c r="B356" s="464" t="s">
        <v>125</v>
      </c>
      <c r="C356" s="516"/>
      <c r="D356" s="488" t="e">
        <f>+D352/D354</f>
        <v>#DIV/0!</v>
      </c>
      <c r="E356" s="472"/>
      <c r="F356" s="472"/>
      <c r="G356" s="472"/>
      <c r="H356" s="472"/>
      <c r="I356" s="472"/>
      <c r="J356" s="472"/>
      <c r="K356" s="472"/>
      <c r="L356" s="472"/>
      <c r="M356" s="472"/>
      <c r="N356" s="472"/>
      <c r="O356" s="472"/>
      <c r="P356" s="472"/>
      <c r="Q356" s="472"/>
      <c r="R356" s="472"/>
      <c r="S356" s="472"/>
      <c r="T356" s="472"/>
      <c r="U356" s="472"/>
      <c r="V356" s="472"/>
      <c r="W356" s="472"/>
      <c r="X356" s="472"/>
      <c r="Y356" s="472"/>
      <c r="Z356" s="471"/>
      <c r="AA356" s="471"/>
      <c r="AB356" s="471"/>
      <c r="AC356" s="472"/>
      <c r="AD356" s="472"/>
      <c r="AE356" s="472"/>
      <c r="AF356" s="472"/>
      <c r="AG356" s="472"/>
      <c r="AH356" s="472"/>
      <c r="AI356" s="472"/>
      <c r="AJ356" s="472"/>
      <c r="AK356" s="472"/>
      <c r="AL356" s="472"/>
      <c r="AM356" s="472"/>
      <c r="AN356" s="472"/>
      <c r="AO356" s="472"/>
      <c r="AP356" s="472"/>
      <c r="AQ356" s="472"/>
      <c r="AR356" s="472"/>
      <c r="AS356" s="472"/>
      <c r="AT356" s="472"/>
      <c r="AU356" s="472"/>
      <c r="AV356" s="472"/>
      <c r="AW356" s="471"/>
      <c r="AX356" s="471"/>
      <c r="AY356" s="472"/>
      <c r="AZ356" s="472"/>
      <c r="BB356" s="488"/>
      <c r="BC356" s="488"/>
      <c r="BD356" s="444"/>
      <c r="BF356" s="336"/>
    </row>
    <row r="357" spans="2:58" hidden="1" outlineLevel="1" x14ac:dyDescent="0.35">
      <c r="C357" s="516"/>
      <c r="D357" s="470"/>
      <c r="E357" s="472"/>
      <c r="F357" s="472"/>
      <c r="G357" s="472"/>
      <c r="H357" s="472"/>
      <c r="I357" s="472"/>
      <c r="J357" s="472"/>
      <c r="K357" s="472"/>
      <c r="L357" s="472"/>
      <c r="M357" s="472"/>
      <c r="N357" s="472"/>
      <c r="O357" s="472"/>
      <c r="P357" s="472"/>
      <c r="Q357" s="472"/>
      <c r="R357" s="472"/>
      <c r="S357" s="472"/>
      <c r="T357" s="472"/>
      <c r="U357" s="472"/>
      <c r="V357" s="472"/>
      <c r="W357" s="472"/>
      <c r="X357" s="472"/>
      <c r="Y357" s="472"/>
      <c r="Z357" s="471"/>
      <c r="AA357" s="471"/>
      <c r="AB357" s="471"/>
      <c r="AC357" s="472"/>
      <c r="AD357" s="472"/>
      <c r="AE357" s="472"/>
      <c r="AF357" s="472"/>
      <c r="AG357" s="472"/>
      <c r="AH357" s="472"/>
      <c r="AI357" s="472"/>
      <c r="AJ357" s="472"/>
      <c r="AK357" s="472"/>
      <c r="AL357" s="472"/>
      <c r="AM357" s="472"/>
      <c r="AN357" s="472"/>
      <c r="AO357" s="472"/>
      <c r="AP357" s="472"/>
      <c r="AQ357" s="472"/>
      <c r="AR357" s="472"/>
      <c r="AS357" s="472"/>
      <c r="AT357" s="472"/>
      <c r="AU357" s="472"/>
      <c r="AV357" s="472"/>
      <c r="AW357" s="471"/>
      <c r="AX357" s="471"/>
      <c r="AY357" s="472"/>
      <c r="AZ357" s="472"/>
      <c r="BB357" s="470"/>
      <c r="BC357" s="470"/>
      <c r="BD357" s="444"/>
      <c r="BF357" s="336"/>
    </row>
    <row r="358" spans="2:58" hidden="1" outlineLevel="1" x14ac:dyDescent="0.35">
      <c r="B358" s="329" t="s">
        <v>126</v>
      </c>
      <c r="C358" s="516"/>
      <c r="D358" s="470"/>
      <c r="E358" s="472"/>
      <c r="F358" s="472"/>
      <c r="G358" s="472"/>
      <c r="H358" s="472"/>
      <c r="I358" s="472"/>
      <c r="J358" s="472"/>
      <c r="K358" s="472"/>
      <c r="L358" s="472"/>
      <c r="M358" s="472"/>
      <c r="N358" s="472"/>
      <c r="O358" s="472"/>
      <c r="P358" s="472"/>
      <c r="Q358" s="472"/>
      <c r="R358" s="472"/>
      <c r="S358" s="472"/>
      <c r="T358" s="472"/>
      <c r="U358" s="472"/>
      <c r="V358" s="472"/>
      <c r="W358" s="472"/>
      <c r="X358" s="472"/>
      <c r="Y358" s="472"/>
      <c r="Z358" s="471"/>
      <c r="AA358" s="471"/>
      <c r="AB358" s="471"/>
      <c r="AC358" s="472"/>
      <c r="AD358" s="472"/>
      <c r="AE358" s="472"/>
      <c r="AF358" s="472"/>
      <c r="AG358" s="472"/>
      <c r="AH358" s="472"/>
      <c r="AI358" s="472"/>
      <c r="AJ358" s="472"/>
      <c r="AK358" s="472"/>
      <c r="AL358" s="472"/>
      <c r="AM358" s="472"/>
      <c r="AN358" s="472"/>
      <c r="AO358" s="472"/>
      <c r="AP358" s="472"/>
      <c r="AQ358" s="472"/>
      <c r="AR358" s="472"/>
      <c r="AS358" s="472"/>
      <c r="AT358" s="472"/>
      <c r="AU358" s="472"/>
      <c r="AV358" s="472"/>
      <c r="AW358" s="471"/>
      <c r="AX358" s="471"/>
      <c r="AY358" s="472"/>
      <c r="AZ358" s="472"/>
      <c r="BB358" s="470"/>
      <c r="BC358" s="470"/>
      <c r="BD358" s="444"/>
      <c r="BF358" s="336"/>
    </row>
    <row r="359" spans="2:58" hidden="1" outlineLevel="1" x14ac:dyDescent="0.35">
      <c r="B359" s="490" t="s">
        <v>20</v>
      </c>
      <c r="C359" s="516"/>
      <c r="D359" s="476"/>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420"/>
      <c r="AA359" s="420"/>
      <c r="AB359" s="420"/>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420"/>
      <c r="AX359" s="420"/>
      <c r="AY359" s="173"/>
      <c r="AZ359" s="173"/>
      <c r="BB359" s="476">
        <f t="shared" ref="BB359:BB364" si="278">SUM(E359:AZ359)</f>
        <v>0</v>
      </c>
      <c r="BC359" s="476">
        <f t="shared" ref="BC359:BC364" si="279">+BB359+D359</f>
        <v>0</v>
      </c>
      <c r="BD359" s="444"/>
      <c r="BF359" s="336"/>
    </row>
    <row r="360" spans="2:58" hidden="1" outlineLevel="1" x14ac:dyDescent="0.35">
      <c r="B360" s="490" t="s">
        <v>21</v>
      </c>
      <c r="C360" s="516"/>
      <c r="D360" s="470"/>
      <c r="E360" s="472"/>
      <c r="F360" s="472"/>
      <c r="G360" s="472"/>
      <c r="H360" s="472"/>
      <c r="I360" s="472"/>
      <c r="J360" s="472"/>
      <c r="K360" s="472"/>
      <c r="L360" s="472"/>
      <c r="M360" s="472"/>
      <c r="N360" s="472"/>
      <c r="O360" s="472"/>
      <c r="P360" s="472"/>
      <c r="Q360" s="472"/>
      <c r="R360" s="472"/>
      <c r="S360" s="472"/>
      <c r="T360" s="472"/>
      <c r="U360" s="472"/>
      <c r="V360" s="472"/>
      <c r="W360" s="472"/>
      <c r="X360" s="472"/>
      <c r="Y360" s="472"/>
      <c r="Z360" s="471"/>
      <c r="AA360" s="471"/>
      <c r="AB360" s="471"/>
      <c r="AC360" s="472"/>
      <c r="AD360" s="472"/>
      <c r="AE360" s="472"/>
      <c r="AF360" s="472"/>
      <c r="AG360" s="472"/>
      <c r="AH360" s="472"/>
      <c r="AI360" s="472"/>
      <c r="AJ360" s="472"/>
      <c r="AK360" s="472"/>
      <c r="AL360" s="472"/>
      <c r="AM360" s="472"/>
      <c r="AN360" s="472"/>
      <c r="AO360" s="472"/>
      <c r="AP360" s="472"/>
      <c r="AQ360" s="472"/>
      <c r="AR360" s="472"/>
      <c r="AS360" s="472"/>
      <c r="AT360" s="481"/>
      <c r="AU360" s="472"/>
      <c r="AV360" s="472"/>
      <c r="AW360" s="471"/>
      <c r="AX360" s="471"/>
      <c r="AY360" s="472"/>
      <c r="AZ360" s="472"/>
      <c r="BB360" s="470">
        <f t="shared" si="278"/>
        <v>0</v>
      </c>
      <c r="BC360" s="470">
        <f t="shared" si="279"/>
        <v>0</v>
      </c>
      <c r="BD360" s="444"/>
      <c r="BF360" s="336"/>
    </row>
    <row r="361" spans="2:58" hidden="1" outlineLevel="1" x14ac:dyDescent="0.35">
      <c r="B361" s="329" t="s">
        <v>127</v>
      </c>
      <c r="C361" s="516"/>
      <c r="D361" s="470"/>
      <c r="E361" s="472"/>
      <c r="F361" s="472"/>
      <c r="G361" s="472"/>
      <c r="H361" s="472"/>
      <c r="I361" s="472"/>
      <c r="J361" s="472"/>
      <c r="K361" s="472"/>
      <c r="L361" s="472"/>
      <c r="M361" s="472"/>
      <c r="N361" s="472"/>
      <c r="O361" s="472"/>
      <c r="P361" s="472"/>
      <c r="Q361" s="472"/>
      <c r="R361" s="472"/>
      <c r="S361" s="472"/>
      <c r="T361" s="472"/>
      <c r="U361" s="472"/>
      <c r="V361" s="472"/>
      <c r="W361" s="472"/>
      <c r="X361" s="472"/>
      <c r="Y361" s="472"/>
      <c r="Z361" s="471"/>
      <c r="AA361" s="471"/>
      <c r="AB361" s="471"/>
      <c r="AC361" s="472"/>
      <c r="AD361" s="472"/>
      <c r="AE361" s="472"/>
      <c r="AF361" s="472"/>
      <c r="AG361" s="472"/>
      <c r="AH361" s="472"/>
      <c r="AI361" s="472"/>
      <c r="AJ361" s="472"/>
      <c r="AK361" s="472"/>
      <c r="AL361" s="472"/>
      <c r="AM361" s="472"/>
      <c r="AN361" s="472"/>
      <c r="AO361" s="472"/>
      <c r="AP361" s="472"/>
      <c r="AQ361" s="472"/>
      <c r="AR361" s="472"/>
      <c r="AS361" s="472"/>
      <c r="AT361" s="481"/>
      <c r="AU361" s="472"/>
      <c r="AV361" s="472"/>
      <c r="AW361" s="471"/>
      <c r="AX361" s="471"/>
      <c r="AY361" s="472"/>
      <c r="AZ361" s="472"/>
      <c r="BB361" s="470">
        <f t="shared" si="278"/>
        <v>0</v>
      </c>
      <c r="BC361" s="470">
        <f t="shared" si="279"/>
        <v>0</v>
      </c>
      <c r="BD361" s="444"/>
      <c r="BF361" s="336"/>
    </row>
    <row r="362" spans="2:58" hidden="1" outlineLevel="1" x14ac:dyDescent="0.35">
      <c r="B362" s="329" t="s">
        <v>128</v>
      </c>
      <c r="C362" s="516"/>
      <c r="D362" s="470"/>
      <c r="E362" s="472"/>
      <c r="F362" s="472"/>
      <c r="G362" s="472"/>
      <c r="H362" s="472"/>
      <c r="I362" s="472"/>
      <c r="J362" s="472"/>
      <c r="K362" s="472"/>
      <c r="L362" s="472"/>
      <c r="M362" s="472"/>
      <c r="N362" s="472"/>
      <c r="O362" s="472"/>
      <c r="P362" s="472"/>
      <c r="Q362" s="472"/>
      <c r="R362" s="472"/>
      <c r="S362" s="472"/>
      <c r="T362" s="472"/>
      <c r="U362" s="472"/>
      <c r="V362" s="472"/>
      <c r="W362" s="472"/>
      <c r="X362" s="472"/>
      <c r="Z362" s="471"/>
      <c r="AA362" s="471"/>
      <c r="AB362" s="471"/>
      <c r="AC362" s="472"/>
      <c r="AD362" s="472"/>
      <c r="AE362" s="472"/>
      <c r="AF362" s="472"/>
      <c r="AG362" s="472"/>
      <c r="AH362" s="472"/>
      <c r="AI362" s="472"/>
      <c r="AJ362" s="472"/>
      <c r="AK362" s="472"/>
      <c r="AL362" s="472"/>
      <c r="AM362" s="472"/>
      <c r="AN362" s="472"/>
      <c r="AO362" s="472"/>
      <c r="AP362" s="472"/>
      <c r="AQ362" s="472"/>
      <c r="AR362" s="472"/>
      <c r="AS362" s="472"/>
      <c r="AT362" s="265"/>
      <c r="AU362" s="472"/>
      <c r="AV362" s="472"/>
      <c r="AW362" s="471"/>
      <c r="AX362" s="471"/>
      <c r="AY362" s="472"/>
      <c r="AZ362" s="472"/>
      <c r="BB362" s="470">
        <f t="shared" si="278"/>
        <v>0</v>
      </c>
      <c r="BC362" s="470">
        <f t="shared" si="279"/>
        <v>0</v>
      </c>
      <c r="BD362" s="444"/>
      <c r="BF362" s="336"/>
    </row>
    <row r="363" spans="2:58" hidden="1" outlineLevel="1" x14ac:dyDescent="0.35">
      <c r="B363" s="329" t="s">
        <v>129</v>
      </c>
      <c r="C363" s="516"/>
      <c r="D363" s="491"/>
      <c r="E363" s="472"/>
      <c r="F363" s="472"/>
      <c r="G363" s="472"/>
      <c r="H363" s="472"/>
      <c r="I363" s="472"/>
      <c r="J363" s="472"/>
      <c r="K363" s="472"/>
      <c r="L363" s="472"/>
      <c r="M363" s="472"/>
      <c r="N363" s="472"/>
      <c r="O363" s="472"/>
      <c r="P363" s="472"/>
      <c r="Q363" s="472"/>
      <c r="R363" s="472"/>
      <c r="S363" s="472"/>
      <c r="T363" s="472"/>
      <c r="U363" s="472"/>
      <c r="V363" s="472"/>
      <c r="W363" s="472"/>
      <c r="X363" s="472"/>
      <c r="Z363" s="471"/>
      <c r="AA363" s="471"/>
      <c r="AB363" s="471"/>
      <c r="AC363" s="472"/>
      <c r="AD363" s="472"/>
      <c r="AE363" s="472"/>
      <c r="AF363" s="472"/>
      <c r="AG363" s="472"/>
      <c r="AH363" s="472"/>
      <c r="AI363" s="472"/>
      <c r="AJ363" s="472"/>
      <c r="AK363" s="472"/>
      <c r="AL363" s="472"/>
      <c r="AM363" s="472"/>
      <c r="AN363" s="472"/>
      <c r="AO363" s="472"/>
      <c r="AP363" s="472"/>
      <c r="AQ363" s="472"/>
      <c r="AR363" s="472"/>
      <c r="AS363" s="472"/>
      <c r="AT363" s="472"/>
      <c r="AU363" s="472"/>
      <c r="AV363" s="472"/>
      <c r="AW363" s="471"/>
      <c r="AX363" s="471"/>
      <c r="AY363" s="472"/>
      <c r="AZ363" s="472"/>
      <c r="BB363" s="470">
        <f t="shared" si="278"/>
        <v>0</v>
      </c>
      <c r="BC363" s="470">
        <f t="shared" si="279"/>
        <v>0</v>
      </c>
      <c r="BD363" s="444"/>
      <c r="BF363" s="336"/>
    </row>
    <row r="364" spans="2:58" hidden="1" outlineLevel="1" x14ac:dyDescent="0.35">
      <c r="B364" s="329" t="s">
        <v>130</v>
      </c>
      <c r="C364" s="516"/>
      <c r="D364" s="470"/>
      <c r="E364" s="472"/>
      <c r="F364" s="472"/>
      <c r="G364" s="472"/>
      <c r="H364" s="472"/>
      <c r="I364" s="472"/>
      <c r="J364" s="472"/>
      <c r="K364" s="472"/>
      <c r="L364" s="472"/>
      <c r="M364" s="472"/>
      <c r="N364" s="472"/>
      <c r="O364" s="472"/>
      <c r="P364" s="472"/>
      <c r="Q364" s="472"/>
      <c r="R364" s="472"/>
      <c r="S364" s="472"/>
      <c r="T364" s="472"/>
      <c r="U364" s="472"/>
      <c r="V364" s="472"/>
      <c r="W364" s="472"/>
      <c r="X364" s="472"/>
      <c r="Y364" s="472"/>
      <c r="Z364" s="472"/>
      <c r="AA364" s="472"/>
      <c r="AB364" s="472"/>
      <c r="AC364" s="472"/>
      <c r="AD364" s="472"/>
      <c r="AE364" s="472"/>
      <c r="AF364" s="472"/>
      <c r="AG364" s="472"/>
      <c r="AH364" s="472"/>
      <c r="AI364" s="472"/>
      <c r="AJ364" s="472"/>
      <c r="AK364" s="472"/>
      <c r="AL364" s="472"/>
      <c r="AM364" s="472"/>
      <c r="AN364" s="472"/>
      <c r="AO364" s="472"/>
      <c r="AP364" s="472"/>
      <c r="AQ364" s="472"/>
      <c r="AR364" s="472"/>
      <c r="AS364" s="472"/>
      <c r="AT364" s="472"/>
      <c r="AU364" s="472"/>
      <c r="AV364" s="472"/>
      <c r="AW364" s="471"/>
      <c r="AX364" s="471"/>
      <c r="AY364" s="472"/>
      <c r="AZ364" s="472"/>
      <c r="BB364" s="470">
        <f t="shared" si="278"/>
        <v>0</v>
      </c>
      <c r="BC364" s="470">
        <f t="shared" si="279"/>
        <v>0</v>
      </c>
      <c r="BD364" s="444"/>
      <c r="BF364" s="336"/>
    </row>
    <row r="365" spans="2:58" ht="15" hidden="1" outlineLevel="1" thickBot="1" x14ac:dyDescent="0.4">
      <c r="B365" s="329" t="s">
        <v>22</v>
      </c>
      <c r="C365" s="516"/>
      <c r="D365" s="493">
        <f>SUM(D359:D364)</f>
        <v>0</v>
      </c>
      <c r="E365" s="494">
        <f t="shared" ref="E365:BC365" si="280">SUM(E359:E364)</f>
        <v>0</v>
      </c>
      <c r="F365" s="494">
        <f t="shared" si="280"/>
        <v>0</v>
      </c>
      <c r="G365" s="494">
        <f t="shared" si="280"/>
        <v>0</v>
      </c>
      <c r="H365" s="494">
        <f t="shared" si="280"/>
        <v>0</v>
      </c>
      <c r="I365" s="494">
        <f t="shared" si="280"/>
        <v>0</v>
      </c>
      <c r="J365" s="494">
        <f t="shared" si="280"/>
        <v>0</v>
      </c>
      <c r="K365" s="494">
        <f t="shared" si="280"/>
        <v>0</v>
      </c>
      <c r="L365" s="494">
        <f t="shared" si="280"/>
        <v>0</v>
      </c>
      <c r="M365" s="494">
        <f t="shared" si="280"/>
        <v>0</v>
      </c>
      <c r="N365" s="494">
        <f t="shared" si="280"/>
        <v>0</v>
      </c>
      <c r="O365" s="494">
        <f t="shared" si="280"/>
        <v>0</v>
      </c>
      <c r="P365" s="494">
        <f t="shared" si="280"/>
        <v>0</v>
      </c>
      <c r="Q365" s="494">
        <f t="shared" si="280"/>
        <v>0</v>
      </c>
      <c r="R365" s="494">
        <f t="shared" si="280"/>
        <v>0</v>
      </c>
      <c r="S365" s="494">
        <f t="shared" si="280"/>
        <v>0</v>
      </c>
      <c r="T365" s="494">
        <f t="shared" si="280"/>
        <v>0</v>
      </c>
      <c r="U365" s="494">
        <f t="shared" si="280"/>
        <v>0</v>
      </c>
      <c r="V365" s="494">
        <f t="shared" si="280"/>
        <v>0</v>
      </c>
      <c r="W365" s="494">
        <f t="shared" si="280"/>
        <v>0</v>
      </c>
      <c r="X365" s="494">
        <f t="shared" si="280"/>
        <v>0</v>
      </c>
      <c r="Y365" s="494">
        <f t="shared" si="280"/>
        <v>0</v>
      </c>
      <c r="Z365" s="494">
        <f t="shared" si="280"/>
        <v>0</v>
      </c>
      <c r="AA365" s="494">
        <f t="shared" si="280"/>
        <v>0</v>
      </c>
      <c r="AB365" s="494">
        <f t="shared" si="280"/>
        <v>0</v>
      </c>
      <c r="AC365" s="494">
        <f t="shared" si="280"/>
        <v>0</v>
      </c>
      <c r="AD365" s="494">
        <f t="shared" ref="AD365" si="281">SUM(AD359:AD364)</f>
        <v>0</v>
      </c>
      <c r="AE365" s="494">
        <f t="shared" si="280"/>
        <v>0</v>
      </c>
      <c r="AF365" s="494">
        <f t="shared" si="280"/>
        <v>0</v>
      </c>
      <c r="AG365" s="494">
        <f t="shared" si="280"/>
        <v>0</v>
      </c>
      <c r="AH365" s="494">
        <f t="shared" si="280"/>
        <v>0</v>
      </c>
      <c r="AI365" s="494">
        <f t="shared" si="280"/>
        <v>0</v>
      </c>
      <c r="AJ365" s="494"/>
      <c r="AK365" s="494"/>
      <c r="AL365" s="494"/>
      <c r="AM365" s="494"/>
      <c r="AN365" s="494"/>
      <c r="AO365" s="494"/>
      <c r="AP365" s="494">
        <f t="shared" si="280"/>
        <v>0</v>
      </c>
      <c r="AQ365" s="494">
        <f t="shared" si="280"/>
        <v>0</v>
      </c>
      <c r="AR365" s="494">
        <f t="shared" si="280"/>
        <v>0</v>
      </c>
      <c r="AS365" s="494">
        <f t="shared" ref="AS365" si="282">SUM(AS359:AS364)</f>
        <v>0</v>
      </c>
      <c r="AT365" s="494"/>
      <c r="AU365" s="494"/>
      <c r="AV365" s="494"/>
      <c r="AW365" s="519"/>
      <c r="AX365" s="519"/>
      <c r="AY365" s="494"/>
      <c r="AZ365" s="494"/>
      <c r="BB365" s="493">
        <f t="shared" si="280"/>
        <v>0</v>
      </c>
      <c r="BC365" s="493">
        <f t="shared" si="280"/>
        <v>0</v>
      </c>
      <c r="BD365" s="444"/>
      <c r="BF365" s="336"/>
    </row>
    <row r="366" spans="2:58" hidden="1" outlineLevel="1" x14ac:dyDescent="0.35">
      <c r="C366" s="516"/>
      <c r="D366" s="466"/>
      <c r="AS366" s="329"/>
      <c r="BB366" s="466"/>
      <c r="BC366" s="466"/>
      <c r="BD366" s="444"/>
      <c r="BF366" s="336"/>
    </row>
    <row r="367" spans="2:58" hidden="1" outlineLevel="1" x14ac:dyDescent="0.35">
      <c r="B367" s="329" t="s">
        <v>29</v>
      </c>
      <c r="C367" s="516"/>
      <c r="D367" s="496">
        <f>+'Def, COC, ConvF DPK-7 '!C13</f>
        <v>7.3575000000000002E-2</v>
      </c>
      <c r="E367" s="497">
        <f>+'Def, COC, ConvF DPK-7 '!D13</f>
        <v>7.3700000000000002E-2</v>
      </c>
      <c r="F367" s="497">
        <f>+'Def, COC, ConvF DPK-7 '!D13</f>
        <v>7.3700000000000002E-2</v>
      </c>
      <c r="G367" s="497">
        <f>+'Def, COC, ConvF DPK-7 '!D13</f>
        <v>7.3700000000000002E-2</v>
      </c>
      <c r="H367" s="497">
        <f>+'Def, COC, ConvF DPK-7 '!D13</f>
        <v>7.3700000000000002E-2</v>
      </c>
      <c r="I367" s="497">
        <f>+'Def, COC, ConvF DPK-7 '!D13</f>
        <v>7.3700000000000002E-2</v>
      </c>
      <c r="J367" s="497">
        <f>+'Def, COC, ConvF DPK-7 '!D13</f>
        <v>7.3700000000000002E-2</v>
      </c>
      <c r="K367" s="497">
        <f>+'Def, COC, ConvF DPK-7 '!D13</f>
        <v>7.3700000000000002E-2</v>
      </c>
      <c r="L367" s="497">
        <f>+'Def, COC, ConvF DPK-7 '!D13</f>
        <v>7.3700000000000002E-2</v>
      </c>
      <c r="M367" s="497">
        <f>+'Def, COC, ConvF DPK-7 '!D13</f>
        <v>7.3700000000000002E-2</v>
      </c>
      <c r="N367" s="497">
        <f>+'Def, COC, ConvF DPK-7 '!D13</f>
        <v>7.3700000000000002E-2</v>
      </c>
      <c r="O367" s="497">
        <f>+'Def, COC, ConvF DPK-7 '!D13</f>
        <v>7.3700000000000002E-2</v>
      </c>
      <c r="P367" s="497">
        <f>+'Def, COC, ConvF DPK-7 '!D13</f>
        <v>7.3700000000000002E-2</v>
      </c>
      <c r="Q367" s="497">
        <f>+'Def, COC, ConvF DPK-7 '!D13</f>
        <v>7.3700000000000002E-2</v>
      </c>
      <c r="R367" s="497">
        <f>+'Def, COC, ConvF DPK-7 '!D13</f>
        <v>7.3700000000000002E-2</v>
      </c>
      <c r="S367" s="497">
        <f>+'Def, COC, ConvF DPK-7 '!D13</f>
        <v>7.3700000000000002E-2</v>
      </c>
      <c r="T367" s="497">
        <f>+'Def, COC, ConvF DPK-7 '!D13</f>
        <v>7.3700000000000002E-2</v>
      </c>
      <c r="U367" s="497">
        <f>+'Def, COC, ConvF DPK-7 '!D13</f>
        <v>7.3700000000000002E-2</v>
      </c>
      <c r="V367" s="497">
        <f>+'Def, COC, ConvF DPK-7 '!D13</f>
        <v>7.3700000000000002E-2</v>
      </c>
      <c r="W367" s="497">
        <f>+'Def, COC, ConvF DPK-7 '!D13</f>
        <v>7.3700000000000002E-2</v>
      </c>
      <c r="X367" s="497">
        <f>+'Def, COC, ConvF DPK-7 '!D13</f>
        <v>7.3700000000000002E-2</v>
      </c>
      <c r="Y367" s="497">
        <f>+'Def, COC, ConvF DPK-7 '!D13</f>
        <v>7.3700000000000002E-2</v>
      </c>
      <c r="Z367" s="497">
        <f>+'Def, COC, ConvF DPK-7 '!D13</f>
        <v>7.3700000000000002E-2</v>
      </c>
      <c r="AA367" s="497">
        <f>+'Def, COC, ConvF DPK-7 '!D13</f>
        <v>7.3700000000000002E-2</v>
      </c>
      <c r="AB367" s="497">
        <f>+'Def, COC, ConvF DPK-7 '!D13</f>
        <v>7.3700000000000002E-2</v>
      </c>
      <c r="AC367" s="497">
        <f>+'Def, COC, ConvF DPK-7 '!D13</f>
        <v>7.3700000000000002E-2</v>
      </c>
      <c r="AD367" s="497">
        <f>+'Def, COC, ConvF DPK-7 '!D13</f>
        <v>7.3700000000000002E-2</v>
      </c>
      <c r="AE367" s="497">
        <f>+'Def, COC, ConvF DPK-7 '!D13</f>
        <v>7.3700000000000002E-2</v>
      </c>
      <c r="AF367" s="497">
        <f>+'Def, COC, ConvF DPK-7 '!D13</f>
        <v>7.3700000000000002E-2</v>
      </c>
      <c r="AG367" s="497">
        <f>+'Def, COC, ConvF DPK-7 '!D13</f>
        <v>7.3700000000000002E-2</v>
      </c>
      <c r="AH367" s="497">
        <f>+'Def, COC, ConvF DPK-7 '!D13</f>
        <v>7.3700000000000002E-2</v>
      </c>
      <c r="AI367" s="497">
        <f>+'Def, COC, ConvF DPK-7 '!D13</f>
        <v>7.3700000000000002E-2</v>
      </c>
      <c r="AJ367" s="497"/>
      <c r="AK367" s="497"/>
      <c r="AL367" s="497"/>
      <c r="AM367" s="497"/>
      <c r="AN367" s="497"/>
      <c r="AO367" s="497"/>
      <c r="AP367" s="497">
        <f>+'Def, COC, ConvF DPK-7 '!D13</f>
        <v>7.3700000000000002E-2</v>
      </c>
      <c r="AQ367" s="497">
        <f>+'Def, COC, ConvF DPK-7 '!D13</f>
        <v>7.3700000000000002E-2</v>
      </c>
      <c r="AR367" s="497">
        <f>+'Def, COC, ConvF DPK-7 '!D13</f>
        <v>7.3700000000000002E-2</v>
      </c>
      <c r="AS367" s="497" t="str">
        <f>+'Def, COC, ConvF DPK-7 '!M13</f>
        <v>ANNUAL FILING FEE</v>
      </c>
      <c r="AT367" s="497"/>
      <c r="AU367" s="497"/>
      <c r="AV367" s="497"/>
      <c r="AW367" s="497"/>
      <c r="AX367" s="497"/>
      <c r="AY367" s="497"/>
      <c r="AZ367" s="497"/>
      <c r="BB367" s="496">
        <f>+'Def, COC, ConvF DPK-7 '!C13</f>
        <v>7.3575000000000002E-2</v>
      </c>
      <c r="BC367" s="496">
        <f>+'Def, COC, ConvF DPK-7 '!C13</f>
        <v>7.3575000000000002E-2</v>
      </c>
      <c r="BD367" s="444"/>
      <c r="BF367" s="336"/>
    </row>
    <row r="368" spans="2:58" hidden="1" outlineLevel="1" x14ac:dyDescent="0.35">
      <c r="B368" s="329" t="s">
        <v>23</v>
      </c>
      <c r="C368" s="516"/>
      <c r="D368" s="466">
        <f>+'Def, COC, ConvF DPK-7 '!P20</f>
        <v>0.75421300000000002</v>
      </c>
      <c r="E368" s="329">
        <f>+'Def, COC, ConvF DPK-7 '!P20</f>
        <v>0.75421300000000002</v>
      </c>
      <c r="F368" s="329">
        <f>+'Def, COC, ConvF DPK-7 '!P20</f>
        <v>0.75421300000000002</v>
      </c>
      <c r="G368" s="329">
        <f>+'Def, COC, ConvF DPK-7 '!P20</f>
        <v>0.75421300000000002</v>
      </c>
      <c r="H368" s="329">
        <f>+'Def, COC, ConvF DPK-7 '!P20</f>
        <v>0.75421300000000002</v>
      </c>
      <c r="I368" s="329">
        <f>+'Def, COC, ConvF DPK-7 '!P20</f>
        <v>0.75421300000000002</v>
      </c>
      <c r="J368" s="329">
        <f>+'Def, COC, ConvF DPK-7 '!P20</f>
        <v>0.75421300000000002</v>
      </c>
      <c r="K368" s="329">
        <f>+'Def, COC, ConvF DPK-7 '!P20</f>
        <v>0.75421300000000002</v>
      </c>
      <c r="L368" s="329">
        <f>+'Def, COC, ConvF DPK-7 '!P20</f>
        <v>0.75421300000000002</v>
      </c>
      <c r="M368" s="329">
        <f>+'Def, COC, ConvF DPK-7 '!P20</f>
        <v>0.75421300000000002</v>
      </c>
      <c r="N368" s="329">
        <f>+'Def, COC, ConvF DPK-7 '!P20</f>
        <v>0.75421300000000002</v>
      </c>
      <c r="O368" s="329">
        <f>+'Def, COC, ConvF DPK-7 '!P20</f>
        <v>0.75421300000000002</v>
      </c>
      <c r="P368" s="329">
        <f>+'Def, COC, ConvF DPK-7 '!P20</f>
        <v>0.75421300000000002</v>
      </c>
      <c r="Q368" s="329">
        <f>+'Def, COC, ConvF DPK-7 '!P20</f>
        <v>0.75421300000000002</v>
      </c>
      <c r="R368" s="329">
        <f>+'Def, COC, ConvF DPK-7 '!P20</f>
        <v>0.75421300000000002</v>
      </c>
      <c r="S368" s="329">
        <f>+'Def, COC, ConvF DPK-7 '!P20</f>
        <v>0.75421300000000002</v>
      </c>
      <c r="T368" s="329">
        <f>+'Def, COC, ConvF DPK-7 '!P20</f>
        <v>0.75421300000000002</v>
      </c>
      <c r="U368" s="329">
        <f>+'Def, COC, ConvF DPK-7 '!P20</f>
        <v>0.75421300000000002</v>
      </c>
      <c r="V368" s="329">
        <f>+'Def, COC, ConvF DPK-7 '!P20</f>
        <v>0.75421300000000002</v>
      </c>
      <c r="W368" s="329">
        <f>+'Def, COC, ConvF DPK-7 '!P20</f>
        <v>0.75421300000000002</v>
      </c>
      <c r="X368" s="329">
        <f>+'Def, COC, ConvF DPK-7 '!P20</f>
        <v>0.75421300000000002</v>
      </c>
      <c r="Y368" s="329">
        <f>+'Def, COC, ConvF DPK-7 '!P20</f>
        <v>0.75421300000000002</v>
      </c>
      <c r="Z368" s="329">
        <f>+'Def, COC, ConvF DPK-7 '!P20</f>
        <v>0.75421300000000002</v>
      </c>
      <c r="AA368" s="329">
        <f>+'Def, COC, ConvF DPK-7 '!P20</f>
        <v>0.75421300000000002</v>
      </c>
      <c r="AB368" s="329">
        <f>+'Def, COC, ConvF DPK-7 '!P20</f>
        <v>0.75421300000000002</v>
      </c>
      <c r="AC368" s="329">
        <f>+'Def, COC, ConvF DPK-7 '!P20</f>
        <v>0.75421300000000002</v>
      </c>
      <c r="AD368" s="329">
        <f>+'Def, COC, ConvF DPK-7 '!P20</f>
        <v>0.75421300000000002</v>
      </c>
      <c r="AE368" s="329">
        <f>+'Def, COC, ConvF DPK-7 '!P20</f>
        <v>0.75421300000000002</v>
      </c>
      <c r="AF368" s="329">
        <f>+'Def, COC, ConvF DPK-7 '!P20</f>
        <v>0.75421300000000002</v>
      </c>
      <c r="AG368" s="329">
        <f>+'Def, COC, ConvF DPK-7 '!P20</f>
        <v>0.75421300000000002</v>
      </c>
      <c r="AH368" s="329">
        <f>+'Def, COC, ConvF DPK-7 '!P20</f>
        <v>0.75421300000000002</v>
      </c>
      <c r="AI368" s="329">
        <f>+'Def, COC, ConvF DPK-7 '!P20</f>
        <v>0.75421300000000002</v>
      </c>
      <c r="AP368" s="329">
        <f>+'Def, COC, ConvF DPK-7 '!P20</f>
        <v>0.75421300000000002</v>
      </c>
      <c r="AQ368" s="329">
        <f>+'Def, COC, ConvF DPK-7 '!P20</f>
        <v>0.75421300000000002</v>
      </c>
      <c r="AR368" s="329">
        <f>+'Def, COC, ConvF DPK-7 '!P20</f>
        <v>0.75421300000000002</v>
      </c>
      <c r="AS368" s="329">
        <f>+'Def, COC, ConvF DPK-7 '!Y20</f>
        <v>0</v>
      </c>
      <c r="BB368" s="466">
        <f>+'Def, COC, ConvF DPK-7 '!P20</f>
        <v>0.75421300000000002</v>
      </c>
      <c r="BC368" s="466">
        <f>+'Def, COC, ConvF DPK-7 '!P20</f>
        <v>0.75421300000000002</v>
      </c>
      <c r="BD368" s="444"/>
      <c r="BF368" s="336"/>
    </row>
    <row r="369" spans="1:58" hidden="1" outlineLevel="1" x14ac:dyDescent="0.35">
      <c r="B369" s="329" t="s">
        <v>186</v>
      </c>
      <c r="C369" s="516"/>
      <c r="D369" s="470">
        <f>+D352-(D365*D367)</f>
        <v>0</v>
      </c>
      <c r="E369" s="265">
        <f t="shared" ref="E369:AR369" si="283">+E352-(E365*E367)</f>
        <v>0</v>
      </c>
      <c r="F369" s="265">
        <f t="shared" si="283"/>
        <v>0</v>
      </c>
      <c r="G369" s="265">
        <f t="shared" si="283"/>
        <v>0</v>
      </c>
      <c r="H369" s="265">
        <f t="shared" si="283"/>
        <v>0</v>
      </c>
      <c r="I369" s="265">
        <f t="shared" si="283"/>
        <v>0</v>
      </c>
      <c r="J369" s="265">
        <f t="shared" si="283"/>
        <v>0</v>
      </c>
      <c r="K369" s="265">
        <f t="shared" si="283"/>
        <v>0</v>
      </c>
      <c r="L369" s="265">
        <f t="shared" si="283"/>
        <v>0</v>
      </c>
      <c r="M369" s="265">
        <f t="shared" si="283"/>
        <v>0</v>
      </c>
      <c r="N369" s="265">
        <f t="shared" si="283"/>
        <v>0</v>
      </c>
      <c r="O369" s="265">
        <f t="shared" si="283"/>
        <v>0</v>
      </c>
      <c r="P369" s="265">
        <f t="shared" si="283"/>
        <v>0</v>
      </c>
      <c r="Q369" s="265">
        <f t="shared" si="283"/>
        <v>0</v>
      </c>
      <c r="R369" s="265">
        <f t="shared" si="283"/>
        <v>0</v>
      </c>
      <c r="S369" s="265">
        <f t="shared" si="283"/>
        <v>0</v>
      </c>
      <c r="T369" s="265">
        <f t="shared" si="283"/>
        <v>0</v>
      </c>
      <c r="U369" s="265">
        <f t="shared" si="283"/>
        <v>0</v>
      </c>
      <c r="V369" s="265">
        <f t="shared" si="283"/>
        <v>0</v>
      </c>
      <c r="W369" s="265">
        <f t="shared" si="283"/>
        <v>0</v>
      </c>
      <c r="X369" s="265">
        <f t="shared" si="283"/>
        <v>0</v>
      </c>
      <c r="Y369" s="265">
        <f t="shared" si="283"/>
        <v>0</v>
      </c>
      <c r="Z369" s="525">
        <f t="shared" si="283"/>
        <v>0</v>
      </c>
      <c r="AA369" s="265">
        <f t="shared" si="283"/>
        <v>0</v>
      </c>
      <c r="AB369" s="265">
        <f t="shared" si="283"/>
        <v>0</v>
      </c>
      <c r="AC369" s="265">
        <f t="shared" si="283"/>
        <v>0</v>
      </c>
      <c r="AD369" s="265">
        <f t="shared" ref="AD369" si="284">+AD352-(AD365*AD367)</f>
        <v>0</v>
      </c>
      <c r="AE369" s="265">
        <f t="shared" si="283"/>
        <v>0</v>
      </c>
      <c r="AF369" s="265">
        <f t="shared" si="283"/>
        <v>0</v>
      </c>
      <c r="AG369" s="265">
        <f t="shared" si="283"/>
        <v>0</v>
      </c>
      <c r="AH369" s="265">
        <f t="shared" si="283"/>
        <v>0</v>
      </c>
      <c r="AI369" s="525">
        <f t="shared" si="283"/>
        <v>0</v>
      </c>
      <c r="AJ369" s="525"/>
      <c r="AK369" s="525"/>
      <c r="AL369" s="525"/>
      <c r="AM369" s="525"/>
      <c r="AN369" s="525"/>
      <c r="AO369" s="525"/>
      <c r="AP369" s="265">
        <f t="shared" si="283"/>
        <v>0</v>
      </c>
      <c r="AQ369" s="265">
        <f t="shared" si="283"/>
        <v>0</v>
      </c>
      <c r="AR369" s="265">
        <f t="shared" si="283"/>
        <v>0</v>
      </c>
      <c r="AS369" s="265" t="e">
        <f t="shared" ref="AS369" si="285">+AS352-(AS365*AS367)</f>
        <v>#VALUE!</v>
      </c>
      <c r="AT369" s="265"/>
      <c r="AU369" s="265"/>
      <c r="AV369" s="265"/>
      <c r="AW369" s="265"/>
      <c r="AX369" s="265"/>
      <c r="AY369" s="265"/>
      <c r="AZ369" s="265"/>
      <c r="BB369" s="470" t="e">
        <f>SUM(E369:AZ369)</f>
        <v>#VALUE!</v>
      </c>
      <c r="BC369" s="470">
        <f>+BC352-(BC365*BC367)</f>
        <v>0</v>
      </c>
      <c r="BD369" s="444"/>
      <c r="BF369" s="336"/>
    </row>
    <row r="370" spans="1:58" hidden="1" outlineLevel="1" x14ac:dyDescent="0.35">
      <c r="B370" s="329" t="s">
        <v>187</v>
      </c>
      <c r="C370" s="516"/>
      <c r="D370" s="470">
        <f t="shared" ref="D370:BC370" si="286">-D369/D368</f>
        <v>0</v>
      </c>
      <c r="E370" s="265">
        <f t="shared" si="286"/>
        <v>0</v>
      </c>
      <c r="F370" s="265">
        <f t="shared" si="286"/>
        <v>0</v>
      </c>
      <c r="G370" s="265">
        <f t="shared" si="286"/>
        <v>0</v>
      </c>
      <c r="H370" s="265">
        <f t="shared" si="286"/>
        <v>0</v>
      </c>
      <c r="I370" s="265">
        <f t="shared" si="286"/>
        <v>0</v>
      </c>
      <c r="J370" s="265">
        <f t="shared" si="286"/>
        <v>0</v>
      </c>
      <c r="K370" s="265">
        <f t="shared" si="286"/>
        <v>0</v>
      </c>
      <c r="L370" s="265">
        <f t="shared" si="286"/>
        <v>0</v>
      </c>
      <c r="M370" s="265">
        <f t="shared" si="286"/>
        <v>0</v>
      </c>
      <c r="N370" s="265">
        <f t="shared" si="286"/>
        <v>0</v>
      </c>
      <c r="O370" s="265">
        <f t="shared" si="286"/>
        <v>0</v>
      </c>
      <c r="P370" s="265">
        <f t="shared" si="286"/>
        <v>0</v>
      </c>
      <c r="Q370" s="265">
        <f t="shared" si="286"/>
        <v>0</v>
      </c>
      <c r="R370" s="265">
        <f t="shared" si="286"/>
        <v>0</v>
      </c>
      <c r="S370" s="265">
        <f t="shared" si="286"/>
        <v>0</v>
      </c>
      <c r="T370" s="265">
        <f t="shared" si="286"/>
        <v>0</v>
      </c>
      <c r="U370" s="265">
        <f t="shared" si="286"/>
        <v>0</v>
      </c>
      <c r="V370" s="265">
        <f t="shared" si="286"/>
        <v>0</v>
      </c>
      <c r="W370" s="265">
        <f t="shared" si="286"/>
        <v>0</v>
      </c>
      <c r="X370" s="265">
        <f t="shared" si="286"/>
        <v>0</v>
      </c>
      <c r="Y370" s="265">
        <f t="shared" si="286"/>
        <v>0</v>
      </c>
      <c r="Z370" s="525">
        <f t="shared" si="286"/>
        <v>0</v>
      </c>
      <c r="AA370" s="265">
        <f t="shared" si="286"/>
        <v>0</v>
      </c>
      <c r="AB370" s="265">
        <f t="shared" si="286"/>
        <v>0</v>
      </c>
      <c r="AC370" s="265">
        <f t="shared" si="286"/>
        <v>0</v>
      </c>
      <c r="AD370" s="265">
        <f t="shared" ref="AD370" si="287">-AD369/AD368</f>
        <v>0</v>
      </c>
      <c r="AE370" s="265">
        <f t="shared" si="286"/>
        <v>0</v>
      </c>
      <c r="AF370" s="265">
        <f t="shared" si="286"/>
        <v>0</v>
      </c>
      <c r="AG370" s="265">
        <f t="shared" si="286"/>
        <v>0</v>
      </c>
      <c r="AH370" s="265">
        <f t="shared" si="286"/>
        <v>0</v>
      </c>
      <c r="AI370" s="525">
        <f t="shared" si="286"/>
        <v>0</v>
      </c>
      <c r="AJ370" s="525"/>
      <c r="AK370" s="525"/>
      <c r="AL370" s="525"/>
      <c r="AM370" s="525"/>
      <c r="AN370" s="525"/>
      <c r="AO370" s="525"/>
      <c r="AP370" s="265">
        <f t="shared" si="286"/>
        <v>0</v>
      </c>
      <c r="AQ370" s="265">
        <f t="shared" si="286"/>
        <v>0</v>
      </c>
      <c r="AR370" s="265">
        <f t="shared" si="286"/>
        <v>0</v>
      </c>
      <c r="AS370" s="265" t="e">
        <f t="shared" ref="AS370" si="288">-AS369/AS368</f>
        <v>#VALUE!</v>
      </c>
      <c r="AT370" s="265"/>
      <c r="AU370" s="265"/>
      <c r="AV370" s="265"/>
      <c r="AW370" s="265"/>
      <c r="AX370" s="265"/>
      <c r="AY370" s="265"/>
      <c r="AZ370" s="265"/>
      <c r="BB370" s="470" t="e">
        <f t="shared" si="286"/>
        <v>#VALUE!</v>
      </c>
      <c r="BC370" s="470">
        <f t="shared" si="286"/>
        <v>0</v>
      </c>
      <c r="BD370" s="444"/>
      <c r="BF370" s="336"/>
    </row>
    <row r="371" spans="1:58" hidden="1" outlineLevel="1" x14ac:dyDescent="0.35">
      <c r="B371" s="329" t="s">
        <v>42</v>
      </c>
      <c r="C371" s="516"/>
      <c r="D371" s="470"/>
      <c r="E371" s="265"/>
      <c r="F371" s="265"/>
      <c r="G371" s="265"/>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525"/>
      <c r="AJ371" s="525"/>
      <c r="AK371" s="525"/>
      <c r="AL371" s="525"/>
      <c r="AM371" s="525"/>
      <c r="AN371" s="525"/>
      <c r="AO371" s="525"/>
      <c r="AP371" s="265"/>
      <c r="AQ371" s="265"/>
      <c r="AR371" s="265"/>
      <c r="AS371" s="265"/>
      <c r="AT371" s="265"/>
      <c r="AU371" s="265"/>
      <c r="AV371" s="265"/>
      <c r="AW371" s="265"/>
      <c r="AX371" s="265"/>
      <c r="AY371" s="265"/>
      <c r="AZ371" s="265"/>
      <c r="BB371" s="470"/>
      <c r="BC371" s="470">
        <f>+BC310</f>
        <v>0</v>
      </c>
      <c r="BD371" s="444"/>
      <c r="BF371" s="336"/>
    </row>
    <row r="372" spans="1:58" hidden="1" outlineLevel="1" x14ac:dyDescent="0.35">
      <c r="B372" s="329" t="s">
        <v>43</v>
      </c>
      <c r="C372" s="516"/>
      <c r="D372" s="470"/>
      <c r="E372" s="265"/>
      <c r="F372" s="265"/>
      <c r="G372" s="265"/>
      <c r="H372" s="265"/>
      <c r="I372" s="265"/>
      <c r="J372" s="265"/>
      <c r="K372" s="265"/>
      <c r="L372" s="265"/>
      <c r="M372" s="265"/>
      <c r="N372" s="265"/>
      <c r="O372" s="265"/>
      <c r="P372" s="265"/>
      <c r="Q372" s="265"/>
      <c r="R372" s="265"/>
      <c r="S372" s="265"/>
      <c r="T372" s="265"/>
      <c r="U372" s="265"/>
      <c r="V372" s="265"/>
      <c r="W372" s="265"/>
      <c r="X372" s="265"/>
      <c r="Y372" s="265"/>
      <c r="Z372" s="265"/>
      <c r="AA372" s="265"/>
      <c r="AB372" s="265"/>
      <c r="AC372" s="265"/>
      <c r="AD372" s="265"/>
      <c r="AE372" s="265"/>
      <c r="AF372" s="265"/>
      <c r="AG372" s="265"/>
      <c r="AH372" s="265"/>
      <c r="AI372" s="265"/>
      <c r="AJ372" s="265"/>
      <c r="AK372" s="265"/>
      <c r="AL372" s="265"/>
      <c r="AM372" s="265"/>
      <c r="AN372" s="265"/>
      <c r="AO372" s="265"/>
      <c r="AP372" s="265"/>
      <c r="AQ372" s="265"/>
      <c r="AR372" s="265"/>
      <c r="AS372" s="265"/>
      <c r="AT372" s="265"/>
      <c r="AU372" s="265"/>
      <c r="AV372" s="265"/>
      <c r="AW372" s="265"/>
      <c r="AX372" s="265"/>
      <c r="AY372" s="265"/>
      <c r="AZ372" s="265"/>
      <c r="BB372" s="470"/>
      <c r="BC372" s="521">
        <f>SUM(BC370:BC371)</f>
        <v>0</v>
      </c>
      <c r="BD372" s="444"/>
      <c r="BF372" s="336"/>
    </row>
    <row r="373" spans="1:58" hidden="1" outlineLevel="1" x14ac:dyDescent="0.35">
      <c r="C373" s="516"/>
      <c r="D373" s="498"/>
      <c r="E373" s="265"/>
      <c r="F373" s="265"/>
      <c r="G373" s="265"/>
      <c r="H373" s="265"/>
      <c r="I373" s="265"/>
      <c r="J373" s="265"/>
      <c r="K373" s="265"/>
      <c r="L373" s="265"/>
      <c r="M373" s="265"/>
      <c r="N373" s="265"/>
      <c r="O373" s="265"/>
      <c r="P373" s="265"/>
      <c r="Q373" s="265"/>
      <c r="R373" s="265"/>
      <c r="S373" s="265"/>
      <c r="T373" s="265"/>
      <c r="U373" s="265"/>
      <c r="V373" s="265"/>
      <c r="W373" s="265"/>
      <c r="X373" s="265"/>
      <c r="Y373" s="265"/>
      <c r="Z373" s="265"/>
      <c r="AA373" s="265"/>
      <c r="AB373" s="265"/>
      <c r="AC373" s="265"/>
      <c r="AD373" s="265"/>
      <c r="AE373" s="265"/>
      <c r="AF373" s="265"/>
      <c r="AG373" s="265"/>
      <c r="AH373" s="265"/>
      <c r="AI373" s="265"/>
      <c r="AJ373" s="265"/>
      <c r="AK373" s="265"/>
      <c r="AL373" s="265"/>
      <c r="AM373" s="265"/>
      <c r="AN373" s="265"/>
      <c r="AO373" s="265"/>
      <c r="AP373" s="265"/>
      <c r="AQ373" s="265"/>
      <c r="AR373" s="265"/>
      <c r="AS373" s="265"/>
      <c r="AT373" s="265"/>
      <c r="AU373" s="265"/>
      <c r="AV373" s="265"/>
      <c r="AW373" s="265"/>
      <c r="AX373" s="265"/>
      <c r="AY373" s="265"/>
      <c r="AZ373" s="265"/>
      <c r="BB373" s="498"/>
      <c r="BC373" s="498"/>
      <c r="BD373" s="444"/>
      <c r="BF373" s="336"/>
    </row>
    <row r="374" spans="1:58" hidden="1" outlineLevel="1" x14ac:dyDescent="0.35">
      <c r="C374" s="516"/>
      <c r="AS374" s="329"/>
      <c r="BB374" s="497">
        <f>+'Def, COC, ConvF DPK-7 '!K27</f>
        <v>7.3575000000000002E-2</v>
      </c>
      <c r="BC374" s="497">
        <f>+'Def, COC, ConvF DPK-7 '!K27</f>
        <v>7.3575000000000002E-2</v>
      </c>
      <c r="BD374" s="444"/>
      <c r="BF374" s="336"/>
    </row>
    <row r="375" spans="1:58" hidden="1" outlineLevel="1" x14ac:dyDescent="0.35">
      <c r="B375" s="499" t="s">
        <v>939</v>
      </c>
      <c r="C375" s="516"/>
      <c r="D375" s="513"/>
      <c r="E375" s="551">
        <f>ROUND('Common Adj'!O$71-E352,0)+E354</f>
        <v>0</v>
      </c>
      <c r="F375" s="551">
        <f>ROUND('Common Adj'!AG$65-F352,0)+F354</f>
        <v>0</v>
      </c>
      <c r="G375" s="551">
        <f>ROUND('Common Adj'!AY$30-G352,0)+G354</f>
        <v>0</v>
      </c>
      <c r="H375" s="551">
        <f>ROUND('Common Adj'!BQ$22-H352,0)+ROUND('Common Adj'!BQ$24-H354,0)</f>
        <v>0</v>
      </c>
      <c r="I375" s="551">
        <f>ROUND('Common Adj'!CI$24-I352,0)+I354</f>
        <v>0</v>
      </c>
      <c r="J375" s="551">
        <f>ROUND('Common Adj'!DA$20-J352,0)+J354</f>
        <v>0</v>
      </c>
      <c r="K375" s="551">
        <f>ROUND('Common Adj'!DS$22-K352,0)+K354</f>
        <v>0</v>
      </c>
      <c r="L375" s="551">
        <f>ROUND('Common Adj'!EK$21-L352,0)+L354</f>
        <v>0</v>
      </c>
      <c r="M375" s="551">
        <f>ROUND('Common Adj'!FC$27-M352,0)+M354</f>
        <v>0</v>
      </c>
      <c r="N375" s="551">
        <f>ROUND('Common Adj'!FU$23-N352,0)+N354</f>
        <v>0</v>
      </c>
      <c r="O375" s="551">
        <f>ROUND('Common Adj'!GM$32-O352,0)+O354</f>
        <v>0</v>
      </c>
      <c r="P375" s="551">
        <f>ROUND('Common Adj'!HE$36-P352,0)+P354</f>
        <v>0</v>
      </c>
      <c r="Q375" s="551">
        <f>ROUND('Common Adj'!HW$18-Q352,0)+Q354</f>
        <v>0</v>
      </c>
      <c r="R375" s="551">
        <f>ROUND('Common Adj'!IO$21-R352,0)+R354</f>
        <v>0</v>
      </c>
      <c r="S375" s="551">
        <f>ROUND('Common Adj'!JG$22-S352,0)+S354</f>
        <v>0</v>
      </c>
      <c r="T375" s="551">
        <f>ROUND('Common Adj'!JY$23-T352,0)+T354</f>
        <v>0</v>
      </c>
      <c r="U375" s="551">
        <f>ROUND('Common Adj'!KQ$20-U352,0)+U354</f>
        <v>0</v>
      </c>
      <c r="V375" s="551">
        <f>ROUND('Common Adj'!LI$33-V352,0)+V354</f>
        <v>0</v>
      </c>
      <c r="W375" s="551">
        <f>ROUND('Common Adj'!MA$22-W354,0)+W352</f>
        <v>0</v>
      </c>
      <c r="X375" s="551">
        <f>ROUND('Common Adj'!MS$31-X352,0)+ROUND('Common Adj'!MS$36-X354,0)</f>
        <v>0</v>
      </c>
      <c r="Y375" s="551">
        <f>ROUND('Common Adj'!NK$22-Y352,0)+Y354</f>
        <v>0</v>
      </c>
      <c r="Z375" s="551">
        <f>ROUND('Common Adj'!OC$31-Z352,0)+Z354</f>
        <v>0</v>
      </c>
      <c r="AA375" s="551">
        <f>ROUND('Common Adj'!OU$40-AA352,0)+ROUND('Common Adj'!OU$29-AA354,0)</f>
        <v>0</v>
      </c>
      <c r="AB375" s="551">
        <f>ROUND('Common Adj'!PM$46-AB352,0)+ROUND('Common Adj'!PM$35-AB354,0)</f>
        <v>0</v>
      </c>
      <c r="AC375" s="551" t="e">
        <f>ROUND('Common Adj'!#REF!-AC352,0)+AC354</f>
        <v>#REF!</v>
      </c>
      <c r="AD375" s="551">
        <f>ROUND('Common Adj'!QX19-AD354,0)</f>
        <v>0</v>
      </c>
      <c r="AE375" s="551">
        <f>ROUND('Common Adj'!SZ$26-AE352,0)+ROUND('Common Adj'!SZ$31-AE354,0)</f>
        <v>0</v>
      </c>
      <c r="AF375" s="551">
        <f>ROUND('Common Adj'!SZ$44-AF352,0)+ROUND('Common Adj'!SZ$49-AF354,0)</f>
        <v>0</v>
      </c>
      <c r="AG375" s="551">
        <f>ROUND('Common Adj'!SZ$62-AG352,0)+ROUND('Common Adj'!SZ$67-AG354,0)</f>
        <v>0</v>
      </c>
      <c r="AH375" s="551">
        <f>ROUND('Common Adj'!SZ$80-AH352,0)+ROUND('Common Adj'!SZ$85-AH354,0)</f>
        <v>0</v>
      </c>
      <c r="AI375" s="551">
        <f>ROUND('Common Adj'!SZ$98-AI352,0)+ROUND('Common Adj'!SZ$103-AI354,0)</f>
        <v>0</v>
      </c>
      <c r="AJ375" s="551"/>
      <c r="AK375" s="551"/>
      <c r="AL375" s="551"/>
      <c r="AM375" s="551"/>
      <c r="AN375" s="551"/>
      <c r="AO375" s="551"/>
      <c r="AP375" s="551">
        <f>ROUND('Gas Adj'!BQ$44-AP354,0)+ROUND('Gas Adj'!BQ$33-AP352,0)</f>
        <v>0</v>
      </c>
      <c r="AQ375" s="551">
        <f>ROUND('Gas Adj'!CI$47-AQ352,0)+ROUND('Gas Adj'!CI$27-AQ354,0)</f>
        <v>0</v>
      </c>
      <c r="AR375" s="551">
        <f>ROUND('Gas Adj'!BQ274-AR352,0)+AR354</f>
        <v>0</v>
      </c>
      <c r="AS375" s="551">
        <f>ROUND('Gas Adj'!BZ274-AS352,0)+AS354</f>
        <v>0</v>
      </c>
      <c r="AT375" s="551">
        <f>ROUND('Gas Adj'!BS274-AT352,0)+AT354</f>
        <v>0</v>
      </c>
      <c r="AU375" s="551">
        <f>ROUND('Gas Adj'!BT274-AU352,0)+AU354</f>
        <v>0</v>
      </c>
      <c r="AV375" s="551">
        <f>ROUND('Gas Adj'!BU274-AV352,0)+AV354</f>
        <v>0</v>
      </c>
      <c r="AW375" s="551">
        <f>ROUND('Gas Adj'!BV274-AW352,0)+AW354</f>
        <v>0</v>
      </c>
      <c r="AX375" s="551">
        <f>ROUND('Gas Adj'!BW274-AX352,0)+AX354</f>
        <v>0</v>
      </c>
      <c r="AY375" s="551">
        <f>ROUND('Gas Adj'!BX274-AY352,0)+AY354</f>
        <v>0</v>
      </c>
      <c r="AZ375" s="551">
        <f>ROUND('Gas Adj'!BY274-AZ352,0)+AZ354</f>
        <v>0</v>
      </c>
      <c r="BB375" s="501"/>
      <c r="BC375" s="501"/>
      <c r="BD375" s="444"/>
      <c r="BF375" s="336"/>
    </row>
    <row r="376" spans="1:58" hidden="1" outlineLevel="1" x14ac:dyDescent="0.35">
      <c r="B376" s="499" t="s">
        <v>953</v>
      </c>
      <c r="C376" s="516"/>
      <c r="D376" s="551"/>
      <c r="AS376" s="329"/>
      <c r="BC376" s="551">
        <f>'Summary DPK-7 '!O47-BC352</f>
        <v>0</v>
      </c>
      <c r="BD376" s="444"/>
      <c r="BF376" s="336"/>
    </row>
    <row r="377" spans="1:58" hidden="1" outlineLevel="1" x14ac:dyDescent="0.35">
      <c r="B377" s="499" t="s">
        <v>954</v>
      </c>
      <c r="C377" s="516"/>
      <c r="D377" s="551"/>
      <c r="AS377" s="329"/>
      <c r="BC377" s="551">
        <f>'Summary DPK-7 '!O58-BC365</f>
        <v>0</v>
      </c>
      <c r="BD377" s="444"/>
      <c r="BF377" s="336"/>
    </row>
    <row r="378" spans="1:58" hidden="1" outlineLevel="1" x14ac:dyDescent="0.35">
      <c r="A378" s="456"/>
      <c r="B378" s="503"/>
      <c r="C378" s="504"/>
      <c r="D378" s="462"/>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c r="AG378" s="456"/>
      <c r="AH378" s="456"/>
      <c r="AI378" s="456"/>
      <c r="AJ378" s="456"/>
      <c r="AK378" s="456"/>
      <c r="AL378" s="456"/>
      <c r="AM378" s="456"/>
      <c r="AN378" s="456"/>
      <c r="AO378" s="456"/>
      <c r="AP378" s="456"/>
      <c r="AQ378" s="456"/>
      <c r="AR378" s="456"/>
      <c r="AS378" s="456"/>
      <c r="AT378" s="456"/>
      <c r="AU378" s="456"/>
      <c r="AV378" s="456"/>
      <c r="AW378" s="456"/>
      <c r="AX378" s="456"/>
      <c r="AY378" s="456"/>
      <c r="AZ378" s="456"/>
      <c r="BB378" s="456"/>
      <c r="BC378" s="462"/>
      <c r="BD378" s="444"/>
      <c r="BF378" s="336"/>
    </row>
    <row r="379" spans="1:58" hidden="1" outlineLevel="1" x14ac:dyDescent="0.35">
      <c r="A379" s="456"/>
      <c r="B379" s="458"/>
      <c r="C379" s="459"/>
      <c r="D379" s="460"/>
      <c r="E379" s="461"/>
      <c r="F379" s="461"/>
      <c r="G379" s="461"/>
      <c r="H379" s="461"/>
      <c r="I379" s="461"/>
      <c r="J379" s="461"/>
      <c r="K379" s="461"/>
      <c r="L379" s="461"/>
      <c r="M379" s="461"/>
      <c r="N379" s="461"/>
      <c r="O379" s="461"/>
      <c r="P379" s="461"/>
      <c r="Q379" s="461"/>
      <c r="R379" s="461"/>
      <c r="S379" s="461"/>
      <c r="T379" s="461"/>
      <c r="U379" s="461"/>
      <c r="V379" s="461"/>
      <c r="W379" s="461"/>
      <c r="X379" s="461"/>
      <c r="Y379" s="461"/>
      <c r="Z379" s="461"/>
      <c r="AA379" s="461"/>
      <c r="AB379" s="461"/>
      <c r="AC379" s="461"/>
      <c r="AD379" s="461"/>
      <c r="AE379" s="461"/>
      <c r="AF379" s="461"/>
      <c r="AG379" s="461"/>
      <c r="AH379" s="461"/>
      <c r="AI379" s="461"/>
      <c r="AJ379" s="461"/>
      <c r="AK379" s="461"/>
      <c r="AL379" s="461"/>
      <c r="AM379" s="461"/>
      <c r="AN379" s="461"/>
      <c r="AO379" s="461"/>
      <c r="AP379" s="461"/>
      <c r="AQ379" s="461"/>
      <c r="AR379" s="461"/>
      <c r="AS379" s="461"/>
      <c r="AT379" s="461"/>
      <c r="AU379" s="461"/>
      <c r="AV379" s="461"/>
      <c r="AW379" s="461"/>
      <c r="AX379" s="461"/>
      <c r="AY379" s="461"/>
      <c r="AZ379" s="461"/>
      <c r="BB379" s="461"/>
      <c r="BC379" s="461"/>
      <c r="BD379" s="444"/>
      <c r="BF379" s="336"/>
    </row>
    <row r="380" spans="1:58" hidden="1" outlineLevel="1" x14ac:dyDescent="0.35">
      <c r="A380" s="456"/>
      <c r="B380" s="458"/>
      <c r="C380" s="459"/>
      <c r="D380" s="462"/>
      <c r="E380" s="463"/>
      <c r="F380" s="463"/>
      <c r="G380" s="463"/>
      <c r="H380" s="463"/>
      <c r="I380" s="463"/>
      <c r="J380" s="463"/>
      <c r="K380" s="463"/>
      <c r="L380" s="463"/>
      <c r="M380" s="463"/>
      <c r="N380" s="463"/>
      <c r="O380" s="463"/>
      <c r="P380" s="463"/>
      <c r="Q380" s="463"/>
      <c r="R380" s="463"/>
      <c r="S380" s="463"/>
      <c r="T380" s="463"/>
      <c r="U380" s="463"/>
      <c r="V380" s="463"/>
      <c r="W380" s="463"/>
      <c r="X380" s="463"/>
      <c r="Y380" s="463"/>
      <c r="Z380" s="463"/>
      <c r="AA380" s="463"/>
      <c r="AB380" s="463"/>
      <c r="AC380" s="463"/>
      <c r="AD380" s="463"/>
      <c r="AE380" s="463"/>
      <c r="AF380" s="463"/>
      <c r="AG380" s="463"/>
      <c r="AH380" s="463"/>
      <c r="AI380" s="463"/>
      <c r="AJ380" s="463"/>
      <c r="AK380" s="463"/>
      <c r="AL380" s="463"/>
      <c r="AM380" s="463"/>
      <c r="AN380" s="463"/>
      <c r="AO380" s="463"/>
      <c r="AP380" s="463"/>
      <c r="AQ380" s="463"/>
      <c r="AR380" s="463"/>
      <c r="AS380" s="463"/>
      <c r="AT380" s="463"/>
      <c r="AU380" s="463"/>
      <c r="AV380" s="463"/>
      <c r="AW380" s="463"/>
      <c r="AX380" s="463"/>
      <c r="AY380" s="463"/>
      <c r="AZ380" s="463"/>
      <c r="BB380" s="456"/>
      <c r="BC380" s="462"/>
      <c r="BD380" s="444"/>
      <c r="BF380" s="336"/>
    </row>
    <row r="381" spans="1:58" hidden="1" outlineLevel="1" x14ac:dyDescent="0.35">
      <c r="B381" s="464" t="s">
        <v>0</v>
      </c>
      <c r="C381" s="465"/>
      <c r="D381" s="476"/>
      <c r="AS381" s="329"/>
      <c r="BB381" s="467"/>
      <c r="BC381" s="467"/>
      <c r="BD381" s="444"/>
      <c r="BF381" s="336"/>
    </row>
    <row r="382" spans="1:58" hidden="1" outlineLevel="1" x14ac:dyDescent="0.35">
      <c r="B382" s="464" t="s">
        <v>48</v>
      </c>
      <c r="C382" s="465"/>
      <c r="D382" s="467">
        <f>+BC321</f>
        <v>0</v>
      </c>
      <c r="E382" s="468">
        <f>'Common Adj'!$Q$37</f>
        <v>0</v>
      </c>
      <c r="F382" s="469"/>
      <c r="G382" s="469"/>
      <c r="H382" s="469"/>
      <c r="I382" s="469"/>
      <c r="J382" s="469"/>
      <c r="K382" s="469"/>
      <c r="L382" s="469"/>
      <c r="M382" s="469"/>
      <c r="N382" s="469"/>
      <c r="O382" s="469"/>
      <c r="P382" s="469"/>
      <c r="Q382" s="469"/>
      <c r="R382" s="469"/>
      <c r="S382" s="469"/>
      <c r="T382" s="469"/>
      <c r="U382" s="469"/>
      <c r="V382" s="469"/>
      <c r="W382" s="469"/>
      <c r="X382" s="469"/>
      <c r="Y382" s="469"/>
      <c r="Z382" s="469"/>
      <c r="AA382" s="469"/>
      <c r="AB382" s="469"/>
      <c r="AC382" s="469"/>
      <c r="AD382" s="469"/>
      <c r="AE382" s="469"/>
      <c r="AF382" s="469"/>
      <c r="AG382" s="469"/>
      <c r="AH382" s="469"/>
      <c r="AI382" s="469"/>
      <c r="AJ382" s="469"/>
      <c r="AK382" s="469"/>
      <c r="AL382" s="469"/>
      <c r="AM382" s="469"/>
      <c r="AN382" s="469"/>
      <c r="AO382" s="469"/>
      <c r="AP382" s="469"/>
      <c r="AQ382" s="469"/>
      <c r="AR382" s="469"/>
      <c r="AS382" s="469"/>
      <c r="AT382" s="469"/>
      <c r="AU382" s="469"/>
      <c r="AV382" s="469"/>
      <c r="AW382" s="468"/>
      <c r="AX382" s="468"/>
      <c r="AY382" s="469"/>
      <c r="AZ382" s="469"/>
      <c r="BB382" s="467">
        <f>SUM(E382:AZ382)</f>
        <v>0</v>
      </c>
      <c r="BC382" s="467">
        <f>+BB382+D382</f>
        <v>0</v>
      </c>
      <c r="BD382" s="444"/>
      <c r="BF382" s="336"/>
    </row>
    <row r="383" spans="1:58" hidden="1" outlineLevel="1" x14ac:dyDescent="0.35">
      <c r="B383" s="464" t="s">
        <v>49</v>
      </c>
      <c r="C383" s="465"/>
      <c r="D383" s="470">
        <f>+BC322</f>
        <v>0</v>
      </c>
      <c r="E383" s="471"/>
      <c r="F383" s="472"/>
      <c r="G383" s="472"/>
      <c r="H383" s="472"/>
      <c r="I383" s="472"/>
      <c r="J383" s="472"/>
      <c r="K383" s="472"/>
      <c r="L383" s="472"/>
      <c r="M383" s="472"/>
      <c r="N383" s="472"/>
      <c r="O383" s="472"/>
      <c r="P383" s="472"/>
      <c r="Q383" s="472"/>
      <c r="R383" s="472"/>
      <c r="S383" s="472"/>
      <c r="T383" s="472"/>
      <c r="U383" s="472"/>
      <c r="V383" s="472"/>
      <c r="W383" s="472"/>
      <c r="X383" s="472"/>
      <c r="Y383" s="472"/>
      <c r="Z383" s="472"/>
      <c r="AA383" s="472"/>
      <c r="AB383" s="472"/>
      <c r="AC383" s="472"/>
      <c r="AD383" s="472"/>
      <c r="AE383" s="472"/>
      <c r="AF383" s="472"/>
      <c r="AG383" s="472"/>
      <c r="AH383" s="472"/>
      <c r="AI383" s="472"/>
      <c r="AJ383" s="472"/>
      <c r="AK383" s="472"/>
      <c r="AL383" s="472"/>
      <c r="AM383" s="472"/>
      <c r="AN383" s="472"/>
      <c r="AO383" s="472"/>
      <c r="AP383" s="472"/>
      <c r="AQ383" s="472"/>
      <c r="AR383" s="472"/>
      <c r="AS383" s="472"/>
      <c r="AT383" s="472"/>
      <c r="AU383" s="472"/>
      <c r="AV383" s="472"/>
      <c r="AW383" s="471"/>
      <c r="AX383" s="471"/>
      <c r="AY383" s="472"/>
      <c r="AZ383" s="472"/>
      <c r="BB383" s="470">
        <f>SUM(E383:AZ383)</f>
        <v>0</v>
      </c>
      <c r="BC383" s="470">
        <f>+BB383+D383</f>
        <v>0</v>
      </c>
      <c r="BD383" s="444"/>
      <c r="BF383" s="336"/>
    </row>
    <row r="384" spans="1:58" hidden="1" outlineLevel="1" x14ac:dyDescent="0.35">
      <c r="B384" s="464" t="s">
        <v>50</v>
      </c>
      <c r="C384" s="465"/>
      <c r="D384" s="470">
        <f>+BC323</f>
        <v>0</v>
      </c>
      <c r="E384" s="471"/>
      <c r="F384" s="472"/>
      <c r="G384" s="472"/>
      <c r="H384" s="472"/>
      <c r="I384" s="472"/>
      <c r="J384" s="472"/>
      <c r="K384" s="472"/>
      <c r="L384" s="472"/>
      <c r="M384" s="472"/>
      <c r="N384" s="472"/>
      <c r="O384" s="472"/>
      <c r="P384" s="472"/>
      <c r="Q384" s="472"/>
      <c r="R384" s="472"/>
      <c r="S384" s="472"/>
      <c r="T384" s="472"/>
      <c r="U384" s="472"/>
      <c r="V384" s="472"/>
      <c r="W384" s="472"/>
      <c r="X384" s="472"/>
      <c r="Y384" s="472"/>
      <c r="Z384" s="472"/>
      <c r="AA384" s="472"/>
      <c r="AB384" s="472"/>
      <c r="AC384" s="472"/>
      <c r="AD384" s="472"/>
      <c r="AE384" s="472"/>
      <c r="AF384" s="472"/>
      <c r="AG384" s="472"/>
      <c r="AH384" s="472"/>
      <c r="AI384" s="511"/>
      <c r="AJ384" s="511"/>
      <c r="AK384" s="511"/>
      <c r="AL384" s="511"/>
      <c r="AM384" s="511"/>
      <c r="AN384" s="511"/>
      <c r="AO384" s="511"/>
      <c r="AP384" s="472"/>
      <c r="AQ384" s="472"/>
      <c r="AR384" s="472"/>
      <c r="AS384" s="472"/>
      <c r="AT384" s="472"/>
      <c r="AU384" s="472"/>
      <c r="AV384" s="472"/>
      <c r="AW384" s="471"/>
      <c r="AX384" s="471"/>
      <c r="AY384" s="472"/>
      <c r="AZ384" s="472"/>
      <c r="BB384" s="470">
        <f>SUM(E384:AZ384)</f>
        <v>0</v>
      </c>
      <c r="BC384" s="470">
        <f>+BB384+D384</f>
        <v>0</v>
      </c>
      <c r="BD384" s="444"/>
      <c r="BF384" s="336"/>
    </row>
    <row r="385" spans="2:58" hidden="1" outlineLevel="1" x14ac:dyDescent="0.35">
      <c r="B385" s="464" t="s">
        <v>51</v>
      </c>
      <c r="C385" s="465"/>
      <c r="D385" s="470">
        <f>+BC324</f>
        <v>0</v>
      </c>
      <c r="E385" s="471"/>
      <c r="F385" s="472"/>
      <c r="G385" s="472"/>
      <c r="H385" s="472"/>
      <c r="I385" s="472"/>
      <c r="J385" s="472"/>
      <c r="K385" s="472"/>
      <c r="L385" s="472"/>
      <c r="M385" s="472"/>
      <c r="N385" s="472"/>
      <c r="O385" s="472"/>
      <c r="P385" s="472"/>
      <c r="Q385" s="472"/>
      <c r="R385" s="472"/>
      <c r="S385" s="472"/>
      <c r="T385" s="472"/>
      <c r="U385" s="472"/>
      <c r="V385" s="472"/>
      <c r="W385" s="472"/>
      <c r="X385" s="472"/>
      <c r="Y385" s="472"/>
      <c r="Z385" s="471"/>
      <c r="AA385" s="471"/>
      <c r="AB385" s="471"/>
      <c r="AC385" s="472"/>
      <c r="AD385" s="472"/>
      <c r="AE385" s="472"/>
      <c r="AF385" s="472"/>
      <c r="AG385" s="472"/>
      <c r="AH385" s="472"/>
      <c r="AI385" s="511"/>
      <c r="AJ385" s="511"/>
      <c r="AK385" s="511"/>
      <c r="AL385" s="511"/>
      <c r="AM385" s="511"/>
      <c r="AN385" s="511"/>
      <c r="AO385" s="511"/>
      <c r="AP385" s="472"/>
      <c r="AQ385" s="472"/>
      <c r="AR385" s="472"/>
      <c r="AS385" s="472"/>
      <c r="AT385" s="472"/>
      <c r="AU385" s="472"/>
      <c r="AV385" s="472"/>
      <c r="AW385" s="471"/>
      <c r="AX385" s="471"/>
      <c r="AY385" s="472"/>
      <c r="AZ385" s="472"/>
      <c r="BB385" s="470">
        <f>SUM(E385:AZ385)</f>
        <v>0</v>
      </c>
      <c r="BC385" s="470">
        <f>+BB385+D385</f>
        <v>0</v>
      </c>
      <c r="BD385" s="444"/>
      <c r="BF385" s="336"/>
    </row>
    <row r="386" spans="2:58" hidden="1" outlineLevel="1" x14ac:dyDescent="0.35">
      <c r="B386" s="464" t="s">
        <v>58</v>
      </c>
      <c r="C386" s="465"/>
      <c r="D386" s="473">
        <f t="shared" ref="D386:BC386" si="289">SUM(D382:D385)</f>
        <v>0</v>
      </c>
      <c r="E386" s="474">
        <f t="shared" si="289"/>
        <v>0</v>
      </c>
      <c r="F386" s="436">
        <f t="shared" si="289"/>
        <v>0</v>
      </c>
      <c r="G386" s="436">
        <f t="shared" si="289"/>
        <v>0</v>
      </c>
      <c r="H386" s="436">
        <f t="shared" si="289"/>
        <v>0</v>
      </c>
      <c r="I386" s="436">
        <f t="shared" si="289"/>
        <v>0</v>
      </c>
      <c r="J386" s="436">
        <f t="shared" si="289"/>
        <v>0</v>
      </c>
      <c r="K386" s="436">
        <f t="shared" si="289"/>
        <v>0</v>
      </c>
      <c r="L386" s="436">
        <f t="shared" si="289"/>
        <v>0</v>
      </c>
      <c r="M386" s="436">
        <f t="shared" si="289"/>
        <v>0</v>
      </c>
      <c r="N386" s="436">
        <f t="shared" si="289"/>
        <v>0</v>
      </c>
      <c r="O386" s="436">
        <f t="shared" si="289"/>
        <v>0</v>
      </c>
      <c r="P386" s="436">
        <f t="shared" si="289"/>
        <v>0</v>
      </c>
      <c r="Q386" s="436">
        <f t="shared" si="289"/>
        <v>0</v>
      </c>
      <c r="R386" s="436">
        <f t="shared" si="289"/>
        <v>0</v>
      </c>
      <c r="S386" s="436">
        <f t="shared" si="289"/>
        <v>0</v>
      </c>
      <c r="T386" s="436">
        <f t="shared" si="289"/>
        <v>0</v>
      </c>
      <c r="U386" s="436">
        <f t="shared" si="289"/>
        <v>0</v>
      </c>
      <c r="V386" s="436">
        <f t="shared" si="289"/>
        <v>0</v>
      </c>
      <c r="W386" s="436">
        <f t="shared" si="289"/>
        <v>0</v>
      </c>
      <c r="X386" s="436">
        <f t="shared" si="289"/>
        <v>0</v>
      </c>
      <c r="Y386" s="436">
        <f t="shared" si="289"/>
        <v>0</v>
      </c>
      <c r="Z386" s="474">
        <f t="shared" si="289"/>
        <v>0</v>
      </c>
      <c r="AA386" s="474">
        <f t="shared" si="289"/>
        <v>0</v>
      </c>
      <c r="AB386" s="474">
        <f t="shared" si="289"/>
        <v>0</v>
      </c>
      <c r="AC386" s="436">
        <f t="shared" si="289"/>
        <v>0</v>
      </c>
      <c r="AD386" s="436">
        <f t="shared" ref="AD386" si="290">SUM(AD382:AD385)</f>
        <v>0</v>
      </c>
      <c r="AE386" s="436">
        <f t="shared" si="289"/>
        <v>0</v>
      </c>
      <c r="AF386" s="436">
        <f t="shared" si="289"/>
        <v>0</v>
      </c>
      <c r="AG386" s="436">
        <f t="shared" si="289"/>
        <v>0</v>
      </c>
      <c r="AH386" s="436">
        <f t="shared" si="289"/>
        <v>0</v>
      </c>
      <c r="AI386" s="522">
        <f t="shared" si="289"/>
        <v>0</v>
      </c>
      <c r="AJ386" s="522"/>
      <c r="AK386" s="522"/>
      <c r="AL386" s="522"/>
      <c r="AM386" s="522"/>
      <c r="AN386" s="522"/>
      <c r="AO386" s="522"/>
      <c r="AP386" s="436">
        <f t="shared" si="289"/>
        <v>0</v>
      </c>
      <c r="AQ386" s="436">
        <f t="shared" si="289"/>
        <v>0</v>
      </c>
      <c r="AR386" s="436">
        <f t="shared" si="289"/>
        <v>0</v>
      </c>
      <c r="AS386" s="436">
        <f t="shared" ref="AS386" si="291">SUM(AS382:AS385)</f>
        <v>0</v>
      </c>
      <c r="AT386" s="436"/>
      <c r="AU386" s="436"/>
      <c r="AV386" s="436"/>
      <c r="AW386" s="474"/>
      <c r="AX386" s="474"/>
      <c r="AY386" s="436"/>
      <c r="AZ386" s="436"/>
      <c r="BB386" s="473">
        <f t="shared" si="289"/>
        <v>0</v>
      </c>
      <c r="BC386" s="473">
        <f t="shared" si="289"/>
        <v>0</v>
      </c>
      <c r="BD386" s="444"/>
      <c r="BF386" s="336"/>
    </row>
    <row r="387" spans="2:58" hidden="1" outlineLevel="1" x14ac:dyDescent="0.35">
      <c r="B387" s="475"/>
      <c r="C387" s="465"/>
      <c r="D387" s="470"/>
      <c r="E387" s="471"/>
      <c r="F387" s="472"/>
      <c r="G387" s="472"/>
      <c r="H387" s="472"/>
      <c r="I387" s="472"/>
      <c r="J387" s="472"/>
      <c r="K387" s="472"/>
      <c r="L387" s="472"/>
      <c r="M387" s="472"/>
      <c r="N387" s="472"/>
      <c r="O387" s="472"/>
      <c r="P387" s="472"/>
      <c r="Q387" s="472"/>
      <c r="R387" s="472"/>
      <c r="S387" s="472"/>
      <c r="T387" s="472"/>
      <c r="U387" s="472"/>
      <c r="V387" s="472"/>
      <c r="W387" s="472"/>
      <c r="X387" s="472"/>
      <c r="Y387" s="472"/>
      <c r="Z387" s="471"/>
      <c r="AA387" s="471"/>
      <c r="AB387" s="471"/>
      <c r="AC387" s="472"/>
      <c r="AD387" s="472"/>
      <c r="AE387" s="472"/>
      <c r="AF387" s="472"/>
      <c r="AG387" s="472"/>
      <c r="AH387" s="472"/>
      <c r="AI387" s="472"/>
      <c r="AJ387" s="472"/>
      <c r="AK387" s="472"/>
      <c r="AL387" s="472"/>
      <c r="AM387" s="472"/>
      <c r="AN387" s="472"/>
      <c r="AO387" s="472"/>
      <c r="AP387" s="472"/>
      <c r="AQ387" s="472"/>
      <c r="AR387" s="472"/>
      <c r="AS387" s="472"/>
      <c r="AT387" s="472"/>
      <c r="AU387" s="472"/>
      <c r="AV387" s="472"/>
      <c r="AW387" s="471"/>
      <c r="AX387" s="471"/>
      <c r="AY387" s="472"/>
      <c r="AZ387" s="472"/>
      <c r="BB387" s="470"/>
      <c r="BC387" s="470"/>
      <c r="BD387" s="444"/>
      <c r="BF387" s="336"/>
    </row>
    <row r="388" spans="2:58" hidden="1" outlineLevel="1" x14ac:dyDescent="0.35">
      <c r="B388" s="464" t="s">
        <v>52</v>
      </c>
      <c r="C388" s="465"/>
      <c r="D388" s="466"/>
      <c r="E388" s="341"/>
      <c r="Z388" s="341"/>
      <c r="AA388" s="341"/>
      <c r="AB388" s="341"/>
      <c r="AS388" s="329"/>
      <c r="AW388" s="341"/>
      <c r="AX388" s="341"/>
      <c r="BB388" s="466"/>
      <c r="BC388" s="466"/>
      <c r="BD388" s="444"/>
      <c r="BF388" s="336"/>
    </row>
    <row r="389" spans="2:58" hidden="1" outlineLevel="1" x14ac:dyDescent="0.35">
      <c r="C389" s="465"/>
      <c r="D389" s="466"/>
      <c r="E389" s="341"/>
      <c r="Z389" s="341"/>
      <c r="AA389" s="341"/>
      <c r="AB389" s="341"/>
      <c r="AS389" s="329"/>
      <c r="AW389" s="341"/>
      <c r="AX389" s="341"/>
      <c r="BB389" s="466"/>
      <c r="BC389" s="466"/>
      <c r="BD389" s="444"/>
      <c r="BF389" s="336"/>
    </row>
    <row r="390" spans="2:58" hidden="1" outlineLevel="1" x14ac:dyDescent="0.35">
      <c r="B390" s="464" t="s">
        <v>53</v>
      </c>
      <c r="C390" s="465"/>
      <c r="D390" s="466"/>
      <c r="E390" s="341"/>
      <c r="Z390" s="341"/>
      <c r="AA390" s="341"/>
      <c r="AB390" s="341"/>
      <c r="AS390" s="329"/>
      <c r="AW390" s="341"/>
      <c r="AX390" s="341"/>
      <c r="BB390" s="466"/>
      <c r="BC390" s="466"/>
      <c r="BD390" s="444"/>
      <c r="BF390" s="336"/>
    </row>
    <row r="391" spans="2:58" hidden="1" outlineLevel="1" x14ac:dyDescent="0.35">
      <c r="B391" s="464" t="s">
        <v>54</v>
      </c>
      <c r="C391" s="465"/>
      <c r="D391" s="476">
        <f>+BC330</f>
        <v>0</v>
      </c>
      <c r="E391" s="420"/>
      <c r="F391" s="173"/>
      <c r="G391" s="173"/>
      <c r="H391" s="173"/>
      <c r="I391" s="173"/>
      <c r="J391" s="173"/>
      <c r="K391" s="173"/>
      <c r="L391" s="173"/>
      <c r="M391" s="173"/>
      <c r="N391" s="173"/>
      <c r="O391" s="173"/>
      <c r="P391" s="173"/>
      <c r="Q391" s="173"/>
      <c r="R391" s="173"/>
      <c r="S391" s="173"/>
      <c r="T391" s="173"/>
      <c r="U391" s="173"/>
      <c r="V391" s="173"/>
      <c r="W391" s="173"/>
      <c r="X391" s="173"/>
      <c r="Y391" s="173"/>
      <c r="Z391" s="420"/>
      <c r="AA391" s="420"/>
      <c r="AB391" s="420"/>
      <c r="AC391" s="173"/>
      <c r="AD391" s="173"/>
      <c r="AE391" s="173"/>
      <c r="AF391" s="173"/>
      <c r="AG391" s="173"/>
      <c r="AH391" s="173"/>
      <c r="AI391" s="510"/>
      <c r="AJ391" s="510"/>
      <c r="AK391" s="510"/>
      <c r="AL391" s="510"/>
      <c r="AM391" s="510"/>
      <c r="AN391" s="510"/>
      <c r="AO391" s="510"/>
      <c r="AP391" s="173"/>
      <c r="AQ391" s="173"/>
      <c r="AR391" s="173"/>
      <c r="AS391" s="173"/>
      <c r="AT391" s="173"/>
      <c r="AU391" s="173"/>
      <c r="AV391" s="173"/>
      <c r="AW391" s="420"/>
      <c r="AX391" s="420"/>
      <c r="AY391" s="173"/>
      <c r="AZ391" s="173"/>
      <c r="BB391" s="476">
        <f>SUM(E391:AZ391)</f>
        <v>0</v>
      </c>
      <c r="BC391" s="476">
        <f>+BB391+D391</f>
        <v>0</v>
      </c>
      <c r="BD391" s="444"/>
      <c r="BF391" s="336"/>
    </row>
    <row r="392" spans="2:58" hidden="1" outlineLevel="1" x14ac:dyDescent="0.35">
      <c r="B392" s="464" t="s">
        <v>55</v>
      </c>
      <c r="C392" s="465"/>
      <c r="D392" s="470">
        <f>+BC331</f>
        <v>0</v>
      </c>
      <c r="E392" s="471"/>
      <c r="F392" s="472"/>
      <c r="G392" s="472"/>
      <c r="H392" s="472"/>
      <c r="I392" s="472"/>
      <c r="J392" s="472"/>
      <c r="K392" s="472"/>
      <c r="L392" s="472"/>
      <c r="M392" s="472"/>
      <c r="N392" s="472"/>
      <c r="O392" s="472"/>
      <c r="P392" s="472"/>
      <c r="Q392" s="472"/>
      <c r="R392" s="472"/>
      <c r="S392" s="472"/>
      <c r="T392" s="472"/>
      <c r="U392" s="472"/>
      <c r="V392" s="472"/>
      <c r="W392" s="472"/>
      <c r="X392" s="472"/>
      <c r="Y392" s="472"/>
      <c r="Z392" s="471"/>
      <c r="AA392" s="471"/>
      <c r="AB392" s="471"/>
      <c r="AC392" s="472"/>
      <c r="AD392" s="472"/>
      <c r="AE392" s="472"/>
      <c r="AF392" s="472"/>
      <c r="AG392" s="472"/>
      <c r="AH392" s="472"/>
      <c r="AI392" s="511"/>
      <c r="AJ392" s="511"/>
      <c r="AK392" s="511"/>
      <c r="AL392" s="511"/>
      <c r="AM392" s="511"/>
      <c r="AN392" s="511"/>
      <c r="AO392" s="511"/>
      <c r="AP392" s="472"/>
      <c r="AQ392" s="472"/>
      <c r="AR392" s="472"/>
      <c r="AS392" s="472"/>
      <c r="AT392" s="472"/>
      <c r="AU392" s="472"/>
      <c r="AV392" s="472"/>
      <c r="AW392" s="471"/>
      <c r="AX392" s="471"/>
      <c r="AY392" s="472"/>
      <c r="AZ392" s="472"/>
      <c r="BB392" s="470">
        <f>SUM(E392:AZ392)</f>
        <v>0</v>
      </c>
      <c r="BC392" s="470">
        <f>+BB392+D392</f>
        <v>0</v>
      </c>
      <c r="BD392" s="444"/>
      <c r="BF392" s="336"/>
    </row>
    <row r="393" spans="2:58" hidden="1" outlineLevel="1" x14ac:dyDescent="0.35">
      <c r="B393" s="464" t="s">
        <v>56</v>
      </c>
      <c r="C393" s="465"/>
      <c r="D393" s="470">
        <f>+BC332</f>
        <v>0</v>
      </c>
      <c r="E393" s="471"/>
      <c r="F393" s="472"/>
      <c r="G393" s="472"/>
      <c r="H393" s="472"/>
      <c r="I393" s="472"/>
      <c r="J393" s="472"/>
      <c r="K393" s="472"/>
      <c r="L393" s="472"/>
      <c r="M393" s="472"/>
      <c r="N393" s="472"/>
      <c r="O393" s="472"/>
      <c r="P393" s="472"/>
      <c r="Q393" s="472"/>
      <c r="R393" s="472"/>
      <c r="S393" s="472"/>
      <c r="T393" s="472"/>
      <c r="U393" s="472"/>
      <c r="V393" s="472"/>
      <c r="W393" s="472"/>
      <c r="X393" s="472"/>
      <c r="Y393" s="472"/>
      <c r="Z393" s="471"/>
      <c r="AA393" s="471"/>
      <c r="AB393" s="471"/>
      <c r="AC393" s="472"/>
      <c r="AD393" s="472"/>
      <c r="AE393" s="472"/>
      <c r="AF393" s="472"/>
      <c r="AG393" s="472"/>
      <c r="AH393" s="472"/>
      <c r="AI393" s="511"/>
      <c r="AJ393" s="511"/>
      <c r="AK393" s="511"/>
      <c r="AL393" s="511"/>
      <c r="AM393" s="511"/>
      <c r="AN393" s="511"/>
      <c r="AO393" s="511"/>
      <c r="AP393" s="472"/>
      <c r="AQ393" s="472"/>
      <c r="AR393" s="472"/>
      <c r="AS393" s="472"/>
      <c r="AT393" s="472"/>
      <c r="AU393" s="472"/>
      <c r="AV393" s="472"/>
      <c r="AW393" s="471"/>
      <c r="AX393" s="471"/>
      <c r="AY393" s="472"/>
      <c r="AZ393" s="472"/>
      <c r="BB393" s="470">
        <f>SUM(E393:AZ393)</f>
        <v>0</v>
      </c>
      <c r="BC393" s="470">
        <f>+BB393+D393</f>
        <v>0</v>
      </c>
      <c r="BD393" s="444"/>
      <c r="BF393" s="336"/>
    </row>
    <row r="394" spans="2:58" hidden="1" outlineLevel="1" x14ac:dyDescent="0.35">
      <c r="B394" s="329" t="s">
        <v>57</v>
      </c>
      <c r="C394" s="465"/>
      <c r="D394" s="470">
        <f>+BC333</f>
        <v>0</v>
      </c>
      <c r="E394" s="471"/>
      <c r="F394" s="472"/>
      <c r="G394" s="472"/>
      <c r="H394" s="472"/>
      <c r="I394" s="472"/>
      <c r="J394" s="472"/>
      <c r="K394" s="472"/>
      <c r="L394" s="472"/>
      <c r="M394" s="472"/>
      <c r="N394" s="472"/>
      <c r="O394" s="472"/>
      <c r="P394" s="472"/>
      <c r="Q394" s="472"/>
      <c r="R394" s="472"/>
      <c r="S394" s="472"/>
      <c r="T394" s="472"/>
      <c r="U394" s="472"/>
      <c r="V394" s="472"/>
      <c r="W394" s="472"/>
      <c r="X394" s="472"/>
      <c r="Y394" s="472"/>
      <c r="Z394" s="471"/>
      <c r="AA394" s="471"/>
      <c r="AB394" s="471"/>
      <c r="AC394" s="472"/>
      <c r="AD394" s="472"/>
      <c r="AE394" s="472"/>
      <c r="AF394" s="472"/>
      <c r="AG394" s="472"/>
      <c r="AH394" s="472"/>
      <c r="AI394" s="472"/>
      <c r="AJ394" s="472"/>
      <c r="AK394" s="472"/>
      <c r="AL394" s="472"/>
      <c r="AM394" s="472"/>
      <c r="AN394" s="472"/>
      <c r="AO394" s="472"/>
      <c r="AP394" s="472"/>
      <c r="AQ394" s="472"/>
      <c r="AR394" s="472"/>
      <c r="AS394" s="472"/>
      <c r="AT394" s="472"/>
      <c r="AU394" s="472"/>
      <c r="AV394" s="472"/>
      <c r="AW394" s="471"/>
      <c r="AX394" s="471"/>
      <c r="AY394" s="472"/>
      <c r="AZ394" s="472"/>
      <c r="BB394" s="470">
        <f>SUM(E394:AZ394)</f>
        <v>0</v>
      </c>
      <c r="BC394" s="470">
        <f>+BB394+D394</f>
        <v>0</v>
      </c>
      <c r="BD394" s="444"/>
      <c r="BF394" s="336"/>
    </row>
    <row r="395" spans="2:58" hidden="1" outlineLevel="1" x14ac:dyDescent="0.35">
      <c r="B395" s="464" t="s">
        <v>1</v>
      </c>
      <c r="C395" s="465"/>
      <c r="D395" s="477">
        <f t="shared" ref="D395:BC395" si="292">SUM(D390:D394)</f>
        <v>0</v>
      </c>
      <c r="E395" s="478">
        <f t="shared" si="292"/>
        <v>0</v>
      </c>
      <c r="F395" s="479">
        <f t="shared" si="292"/>
        <v>0</v>
      </c>
      <c r="G395" s="479">
        <f t="shared" si="292"/>
        <v>0</v>
      </c>
      <c r="H395" s="479">
        <f t="shared" si="292"/>
        <v>0</v>
      </c>
      <c r="I395" s="479">
        <f t="shared" si="292"/>
        <v>0</v>
      </c>
      <c r="J395" s="479">
        <f t="shared" si="292"/>
        <v>0</v>
      </c>
      <c r="K395" s="479">
        <f t="shared" si="292"/>
        <v>0</v>
      </c>
      <c r="L395" s="479">
        <f t="shared" si="292"/>
        <v>0</v>
      </c>
      <c r="M395" s="479">
        <f t="shared" si="292"/>
        <v>0</v>
      </c>
      <c r="N395" s="479">
        <f t="shared" si="292"/>
        <v>0</v>
      </c>
      <c r="O395" s="479">
        <f t="shared" si="292"/>
        <v>0</v>
      </c>
      <c r="P395" s="479">
        <f t="shared" si="292"/>
        <v>0</v>
      </c>
      <c r="Q395" s="479">
        <f t="shared" si="292"/>
        <v>0</v>
      </c>
      <c r="R395" s="479">
        <f t="shared" si="292"/>
        <v>0</v>
      </c>
      <c r="S395" s="479">
        <f t="shared" si="292"/>
        <v>0</v>
      </c>
      <c r="T395" s="479">
        <f t="shared" si="292"/>
        <v>0</v>
      </c>
      <c r="U395" s="479">
        <f t="shared" si="292"/>
        <v>0</v>
      </c>
      <c r="V395" s="479">
        <f t="shared" si="292"/>
        <v>0</v>
      </c>
      <c r="W395" s="479">
        <f t="shared" si="292"/>
        <v>0</v>
      </c>
      <c r="X395" s="479">
        <f t="shared" si="292"/>
        <v>0</v>
      </c>
      <c r="Y395" s="479">
        <f t="shared" si="292"/>
        <v>0</v>
      </c>
      <c r="Z395" s="478">
        <f t="shared" si="292"/>
        <v>0</v>
      </c>
      <c r="AA395" s="478">
        <f t="shared" si="292"/>
        <v>0</v>
      </c>
      <c r="AB395" s="478">
        <f t="shared" si="292"/>
        <v>0</v>
      </c>
      <c r="AC395" s="479">
        <f t="shared" si="292"/>
        <v>0</v>
      </c>
      <c r="AD395" s="479">
        <f t="shared" ref="AD395" si="293">SUM(AD390:AD394)</f>
        <v>0</v>
      </c>
      <c r="AE395" s="479">
        <f t="shared" si="292"/>
        <v>0</v>
      </c>
      <c r="AF395" s="479">
        <f t="shared" si="292"/>
        <v>0</v>
      </c>
      <c r="AG395" s="479">
        <f t="shared" si="292"/>
        <v>0</v>
      </c>
      <c r="AH395" s="479">
        <f t="shared" si="292"/>
        <v>0</v>
      </c>
      <c r="AI395" s="523">
        <f t="shared" si="292"/>
        <v>0</v>
      </c>
      <c r="AJ395" s="523"/>
      <c r="AK395" s="523"/>
      <c r="AL395" s="523"/>
      <c r="AM395" s="523"/>
      <c r="AN395" s="523"/>
      <c r="AO395" s="523"/>
      <c r="AP395" s="479">
        <f t="shared" si="292"/>
        <v>0</v>
      </c>
      <c r="AQ395" s="479">
        <f t="shared" si="292"/>
        <v>0</v>
      </c>
      <c r="AR395" s="479">
        <f t="shared" si="292"/>
        <v>0</v>
      </c>
      <c r="AS395" s="479">
        <f t="shared" ref="AS395" si="294">SUM(AS390:AS394)</f>
        <v>0</v>
      </c>
      <c r="AT395" s="479"/>
      <c r="AU395" s="479"/>
      <c r="AV395" s="479"/>
      <c r="AW395" s="478"/>
      <c r="AX395" s="478"/>
      <c r="AY395" s="479"/>
      <c r="AZ395" s="479"/>
      <c r="BB395" s="477">
        <f t="shared" si="292"/>
        <v>0</v>
      </c>
      <c r="BC395" s="477">
        <f t="shared" si="292"/>
        <v>0</v>
      </c>
      <c r="BD395" s="444"/>
      <c r="BF395" s="336"/>
    </row>
    <row r="396" spans="2:58" hidden="1" outlineLevel="1" x14ac:dyDescent="0.35">
      <c r="B396" s="464"/>
      <c r="C396" s="465"/>
      <c r="D396" s="476"/>
      <c r="E396" s="420"/>
      <c r="F396" s="173"/>
      <c r="G396" s="173"/>
      <c r="H396" s="173"/>
      <c r="I396" s="173"/>
      <c r="J396" s="173"/>
      <c r="K396" s="173"/>
      <c r="L396" s="173"/>
      <c r="M396" s="173"/>
      <c r="N396" s="173"/>
      <c r="O396" s="173"/>
      <c r="P396" s="173"/>
      <c r="Q396" s="173"/>
      <c r="R396" s="173"/>
      <c r="S396" s="173"/>
      <c r="T396" s="173"/>
      <c r="U396" s="173"/>
      <c r="V396" s="173"/>
      <c r="W396" s="173"/>
      <c r="X396" s="173"/>
      <c r="Y396" s="173"/>
      <c r="Z396" s="420"/>
      <c r="AA396" s="420"/>
      <c r="AB396" s="420"/>
      <c r="AC396" s="173"/>
      <c r="AD396" s="173"/>
      <c r="AE396" s="173"/>
      <c r="AF396" s="173"/>
      <c r="AG396" s="173"/>
      <c r="AH396" s="173"/>
      <c r="AI396" s="173"/>
      <c r="AJ396" s="173"/>
      <c r="AK396" s="173"/>
      <c r="AL396" s="173"/>
      <c r="AM396" s="173"/>
      <c r="AN396" s="173"/>
      <c r="AO396" s="173"/>
      <c r="AP396" s="173"/>
      <c r="AQ396" s="173"/>
      <c r="AR396" s="173"/>
      <c r="AS396" s="173"/>
      <c r="AT396" s="173"/>
      <c r="AU396" s="173"/>
      <c r="AV396" s="173"/>
      <c r="AW396" s="420"/>
      <c r="AX396" s="420"/>
      <c r="AY396" s="173"/>
      <c r="AZ396" s="173"/>
      <c r="BB396" s="476"/>
      <c r="BC396" s="476"/>
      <c r="BD396" s="444"/>
      <c r="BF396" s="336"/>
    </row>
    <row r="397" spans="2:58" hidden="1" outlineLevel="1" x14ac:dyDescent="0.35">
      <c r="B397" s="480" t="s">
        <v>59</v>
      </c>
      <c r="C397" s="465"/>
      <c r="D397" s="470">
        <f t="shared" ref="D397:D410" si="295">+BC336</f>
        <v>0</v>
      </c>
      <c r="E397" s="420"/>
      <c r="F397" s="173"/>
      <c r="G397" s="173"/>
      <c r="H397" s="173"/>
      <c r="I397" s="173"/>
      <c r="J397" s="173"/>
      <c r="K397" s="173"/>
      <c r="L397" s="173"/>
      <c r="M397" s="173"/>
      <c r="N397" s="173"/>
      <c r="O397" s="173"/>
      <c r="P397" s="173"/>
      <c r="Q397" s="173"/>
      <c r="R397" s="173"/>
      <c r="S397" s="173"/>
      <c r="T397" s="173"/>
      <c r="U397" s="173"/>
      <c r="V397" s="173"/>
      <c r="W397" s="173"/>
      <c r="X397" s="173"/>
      <c r="Y397" s="173"/>
      <c r="Z397" s="518"/>
      <c r="AA397" s="420"/>
      <c r="AB397" s="420"/>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420"/>
      <c r="AX397" s="420"/>
      <c r="AY397" s="173"/>
      <c r="AZ397" s="173"/>
      <c r="BB397" s="470">
        <f t="shared" ref="BB397:BB410" si="296">SUM(E397:AZ397)</f>
        <v>0</v>
      </c>
      <c r="BC397" s="476">
        <f t="shared" ref="BC397:BC410" si="297">+BB397+D397</f>
        <v>0</v>
      </c>
      <c r="BD397" s="444"/>
      <c r="BF397" s="336"/>
    </row>
    <row r="398" spans="2:58" hidden="1" outlineLevel="1" x14ac:dyDescent="0.35">
      <c r="B398" s="464" t="s">
        <v>60</v>
      </c>
      <c r="C398" s="465"/>
      <c r="D398" s="470">
        <f t="shared" si="295"/>
        <v>0</v>
      </c>
      <c r="E398" s="471"/>
      <c r="F398" s="472"/>
      <c r="G398" s="472"/>
      <c r="H398" s="472"/>
      <c r="I398" s="472"/>
      <c r="J398" s="472"/>
      <c r="K398" s="472"/>
      <c r="L398" s="472"/>
      <c r="M398" s="472"/>
      <c r="N398" s="472"/>
      <c r="O398" s="472"/>
      <c r="P398" s="472"/>
      <c r="Q398" s="472"/>
      <c r="R398" s="472"/>
      <c r="S398" s="472"/>
      <c r="T398" s="472"/>
      <c r="U398" s="472"/>
      <c r="V398" s="472"/>
      <c r="W398" s="472"/>
      <c r="X398" s="472"/>
      <c r="Y398" s="472"/>
      <c r="Z398" s="518"/>
      <c r="AA398" s="471"/>
      <c r="AB398" s="471"/>
      <c r="AC398" s="472"/>
      <c r="AD398" s="472"/>
      <c r="AE398" s="472"/>
      <c r="AF398" s="472"/>
      <c r="AG398" s="472"/>
      <c r="AH398" s="472"/>
      <c r="AI398" s="472"/>
      <c r="AJ398" s="472"/>
      <c r="AK398" s="472"/>
      <c r="AL398" s="472"/>
      <c r="AM398" s="472"/>
      <c r="AN398" s="472"/>
      <c r="AO398" s="472"/>
      <c r="AP398" s="472"/>
      <c r="AQ398" s="472"/>
      <c r="AR398" s="472"/>
      <c r="AS398" s="472"/>
      <c r="AT398" s="472"/>
      <c r="AU398" s="472"/>
      <c r="AV398" s="472"/>
      <c r="AW398" s="471"/>
      <c r="AX398" s="471"/>
      <c r="AY398" s="472"/>
      <c r="AZ398" s="472"/>
      <c r="BB398" s="470">
        <f t="shared" si="296"/>
        <v>0</v>
      </c>
      <c r="BC398" s="470">
        <f t="shared" si="297"/>
        <v>0</v>
      </c>
      <c r="BD398" s="444"/>
      <c r="BF398" s="336"/>
    </row>
    <row r="399" spans="2:58" hidden="1" outlineLevel="1" x14ac:dyDescent="0.35">
      <c r="B399" s="464" t="s">
        <v>61</v>
      </c>
      <c r="C399" s="465"/>
      <c r="D399" s="470">
        <f t="shared" si="295"/>
        <v>0</v>
      </c>
      <c r="E399" s="471"/>
      <c r="F399" s="472"/>
      <c r="G399" s="472"/>
      <c r="H399" s="472"/>
      <c r="I399" s="472"/>
      <c r="J399" s="472"/>
      <c r="K399" s="472"/>
      <c r="L399" s="472"/>
      <c r="M399" s="472"/>
      <c r="N399" s="472"/>
      <c r="O399" s="472"/>
      <c r="P399" s="472"/>
      <c r="Q399" s="472"/>
      <c r="R399" s="472"/>
      <c r="S399" s="472"/>
      <c r="T399" s="472"/>
      <c r="U399" s="472"/>
      <c r="V399" s="472"/>
      <c r="W399" s="472"/>
      <c r="X399" s="472"/>
      <c r="Y399" s="472"/>
      <c r="Z399" s="518"/>
      <c r="AA399" s="471"/>
      <c r="AB399" s="471"/>
      <c r="AC399" s="472"/>
      <c r="AD399" s="472"/>
      <c r="AE399" s="472"/>
      <c r="AF399" s="472"/>
      <c r="AG399" s="472"/>
      <c r="AH399" s="472"/>
      <c r="AI399" s="472"/>
      <c r="AJ399" s="472"/>
      <c r="AK399" s="472"/>
      <c r="AL399" s="472"/>
      <c r="AM399" s="472"/>
      <c r="AN399" s="472"/>
      <c r="AO399" s="472"/>
      <c r="AP399" s="472"/>
      <c r="AQ399" s="472"/>
      <c r="AR399" s="472"/>
      <c r="AS399" s="472"/>
      <c r="AT399" s="472"/>
      <c r="AU399" s="472"/>
      <c r="AV399" s="472"/>
      <c r="AW399" s="471"/>
      <c r="AX399" s="471"/>
      <c r="AY399" s="472"/>
      <c r="AZ399" s="472"/>
      <c r="BB399" s="470">
        <f t="shared" si="296"/>
        <v>0</v>
      </c>
      <c r="BC399" s="470">
        <f t="shared" si="297"/>
        <v>0</v>
      </c>
      <c r="BD399" s="444"/>
      <c r="BF399" s="336"/>
    </row>
    <row r="400" spans="2:58" hidden="1" outlineLevel="1" x14ac:dyDescent="0.35">
      <c r="B400" s="464" t="s">
        <v>62</v>
      </c>
      <c r="C400" s="465"/>
      <c r="D400" s="470">
        <f t="shared" si="295"/>
        <v>0</v>
      </c>
      <c r="E400" s="471">
        <f>'Common Adj'!$Q$64</f>
        <v>0</v>
      </c>
      <c r="F400" s="471"/>
      <c r="G400" s="471"/>
      <c r="H400" s="471"/>
      <c r="I400" s="471"/>
      <c r="J400" s="472"/>
      <c r="K400" s="472"/>
      <c r="L400" s="472"/>
      <c r="M400" s="472"/>
      <c r="N400" s="472"/>
      <c r="O400" s="472"/>
      <c r="P400" s="472"/>
      <c r="Q400" s="472"/>
      <c r="R400" s="472"/>
      <c r="S400" s="472"/>
      <c r="T400" s="472"/>
      <c r="U400" s="472"/>
      <c r="V400" s="472"/>
      <c r="W400" s="472"/>
      <c r="X400" s="472"/>
      <c r="Y400" s="472"/>
      <c r="Z400" s="518"/>
      <c r="AA400" s="471"/>
      <c r="AB400" s="471"/>
      <c r="AC400" s="472"/>
      <c r="AD400" s="472"/>
      <c r="AE400" s="472"/>
      <c r="AF400" s="472"/>
      <c r="AG400" s="472"/>
      <c r="AH400" s="472"/>
      <c r="AI400" s="472"/>
      <c r="AJ400" s="472"/>
      <c r="AK400" s="472"/>
      <c r="AL400" s="472"/>
      <c r="AM400" s="472"/>
      <c r="AN400" s="472"/>
      <c r="AO400" s="472"/>
      <c r="AP400" s="472"/>
      <c r="AQ400" s="472"/>
      <c r="AR400" s="472"/>
      <c r="AS400" s="472"/>
      <c r="AT400" s="472"/>
      <c r="AU400" s="472"/>
      <c r="AV400" s="472"/>
      <c r="AW400" s="471"/>
      <c r="AX400" s="471"/>
      <c r="AY400" s="472"/>
      <c r="AZ400" s="472"/>
      <c r="BB400" s="470">
        <f t="shared" si="296"/>
        <v>0</v>
      </c>
      <c r="BC400" s="470">
        <f t="shared" si="297"/>
        <v>0</v>
      </c>
      <c r="BD400" s="444"/>
      <c r="BF400" s="336"/>
    </row>
    <row r="401" spans="2:58" hidden="1" outlineLevel="1" x14ac:dyDescent="0.35">
      <c r="B401" s="464" t="s">
        <v>63</v>
      </c>
      <c r="C401" s="465"/>
      <c r="D401" s="470">
        <f t="shared" si="295"/>
        <v>0</v>
      </c>
      <c r="E401" s="471"/>
      <c r="F401" s="471"/>
      <c r="G401" s="471"/>
      <c r="H401" s="471"/>
      <c r="I401" s="471"/>
      <c r="J401" s="472"/>
      <c r="K401" s="472"/>
      <c r="L401" s="472"/>
      <c r="M401" s="472"/>
      <c r="N401" s="472"/>
      <c r="O401" s="472"/>
      <c r="P401" s="472"/>
      <c r="Q401" s="472"/>
      <c r="R401" s="472"/>
      <c r="S401" s="472"/>
      <c r="T401" s="472"/>
      <c r="U401" s="472"/>
      <c r="V401" s="472"/>
      <c r="W401" s="472"/>
      <c r="X401" s="472"/>
      <c r="Y401" s="472"/>
      <c r="Z401" s="518"/>
      <c r="AA401" s="471"/>
      <c r="AB401" s="471"/>
      <c r="AC401" s="472"/>
      <c r="AD401" s="472"/>
      <c r="AE401" s="472"/>
      <c r="AF401" s="472"/>
      <c r="AG401" s="472"/>
      <c r="AH401" s="472"/>
      <c r="AI401" s="472"/>
      <c r="AJ401" s="472"/>
      <c r="AK401" s="472"/>
      <c r="AL401" s="472"/>
      <c r="AM401" s="472"/>
      <c r="AN401" s="472"/>
      <c r="AO401" s="472"/>
      <c r="AP401" s="472"/>
      <c r="AQ401" s="472"/>
      <c r="AR401" s="472"/>
      <c r="AS401" s="472"/>
      <c r="AT401" s="472"/>
      <c r="AU401" s="472"/>
      <c r="AV401" s="472"/>
      <c r="AW401" s="471"/>
      <c r="AX401" s="471"/>
      <c r="AY401" s="472"/>
      <c r="AZ401" s="472"/>
      <c r="BB401" s="470">
        <f t="shared" si="296"/>
        <v>0</v>
      </c>
      <c r="BC401" s="470">
        <f t="shared" si="297"/>
        <v>0</v>
      </c>
      <c r="BD401" s="444"/>
      <c r="BF401" s="336"/>
    </row>
    <row r="402" spans="2:58" hidden="1" outlineLevel="1" x14ac:dyDescent="0.35">
      <c r="B402" s="464" t="s">
        <v>64</v>
      </c>
      <c r="C402" s="465"/>
      <c r="D402" s="470">
        <f t="shared" si="295"/>
        <v>0</v>
      </c>
      <c r="E402" s="471"/>
      <c r="F402" s="471"/>
      <c r="G402" s="471"/>
      <c r="H402" s="471"/>
      <c r="I402" s="471"/>
      <c r="J402" s="472"/>
      <c r="K402" s="472"/>
      <c r="L402" s="472"/>
      <c r="M402" s="472"/>
      <c r="N402" s="472"/>
      <c r="O402" s="472"/>
      <c r="P402" s="472"/>
      <c r="Q402" s="472"/>
      <c r="R402" s="472"/>
      <c r="S402" s="472"/>
      <c r="T402" s="472"/>
      <c r="U402" s="511"/>
      <c r="V402" s="472"/>
      <c r="W402" s="472"/>
      <c r="X402" s="472"/>
      <c r="Y402" s="472"/>
      <c r="Z402" s="518"/>
      <c r="AA402" s="471"/>
      <c r="AB402" s="471"/>
      <c r="AC402" s="472"/>
      <c r="AD402" s="472"/>
      <c r="AE402" s="472"/>
      <c r="AF402" s="472"/>
      <c r="AG402" s="472"/>
      <c r="AH402" s="472"/>
      <c r="AI402" s="472"/>
      <c r="AJ402" s="472"/>
      <c r="AK402" s="472"/>
      <c r="AL402" s="472"/>
      <c r="AM402" s="472"/>
      <c r="AN402" s="472"/>
      <c r="AO402" s="472"/>
      <c r="AP402" s="472"/>
      <c r="AQ402" s="472"/>
      <c r="AR402" s="472"/>
      <c r="AS402" s="472"/>
      <c r="AT402" s="472"/>
      <c r="AU402" s="472"/>
      <c r="AV402" s="472"/>
      <c r="AW402" s="471"/>
      <c r="AX402" s="471"/>
      <c r="AY402" s="472"/>
      <c r="AZ402" s="472"/>
      <c r="BB402" s="470">
        <f t="shared" si="296"/>
        <v>0</v>
      </c>
      <c r="BC402" s="470">
        <f t="shared" si="297"/>
        <v>0</v>
      </c>
      <c r="BD402" s="444"/>
      <c r="BF402" s="336"/>
    </row>
    <row r="403" spans="2:58" hidden="1" outlineLevel="1" x14ac:dyDescent="0.35">
      <c r="B403" s="464" t="s">
        <v>65</v>
      </c>
      <c r="C403" s="465"/>
      <c r="D403" s="470">
        <f t="shared" si="295"/>
        <v>0</v>
      </c>
      <c r="E403" s="471">
        <f>'Common Adj'!$Q$65</f>
        <v>0</v>
      </c>
      <c r="F403" s="471"/>
      <c r="G403" s="471"/>
      <c r="H403" s="471"/>
      <c r="I403" s="471"/>
      <c r="J403" s="472"/>
      <c r="K403" s="472"/>
      <c r="L403" s="472"/>
      <c r="M403" s="472"/>
      <c r="N403" s="472"/>
      <c r="O403" s="472"/>
      <c r="P403" s="472"/>
      <c r="Q403" s="472"/>
      <c r="R403" s="472"/>
      <c r="S403" s="472"/>
      <c r="T403" s="472"/>
      <c r="U403" s="472"/>
      <c r="V403" s="472"/>
      <c r="W403" s="472"/>
      <c r="X403" s="472"/>
      <c r="Y403" s="472"/>
      <c r="Z403" s="518"/>
      <c r="AA403" s="471"/>
      <c r="AB403" s="471"/>
      <c r="AC403" s="472"/>
      <c r="AD403" s="472"/>
      <c r="AE403" s="472"/>
      <c r="AF403" s="472"/>
      <c r="AG403" s="472"/>
      <c r="AH403" s="472"/>
      <c r="AI403" s="472"/>
      <c r="AJ403" s="472"/>
      <c r="AK403" s="472"/>
      <c r="AL403" s="472"/>
      <c r="AM403" s="472"/>
      <c r="AN403" s="472"/>
      <c r="AO403" s="472"/>
      <c r="AP403" s="472"/>
      <c r="AQ403" s="472"/>
      <c r="AR403" s="472"/>
      <c r="AS403" s="472"/>
      <c r="AT403" s="472"/>
      <c r="AU403" s="472"/>
      <c r="AV403" s="472"/>
      <c r="AW403" s="471"/>
      <c r="AX403" s="471"/>
      <c r="AY403" s="472"/>
      <c r="AZ403" s="472"/>
      <c r="BB403" s="470">
        <f t="shared" si="296"/>
        <v>0</v>
      </c>
      <c r="BC403" s="470">
        <f t="shared" si="297"/>
        <v>0</v>
      </c>
      <c r="BD403" s="444"/>
      <c r="BF403" s="336"/>
    </row>
    <row r="404" spans="2:58" hidden="1" outlineLevel="1" x14ac:dyDescent="0.35">
      <c r="B404" s="464" t="s">
        <v>66</v>
      </c>
      <c r="C404" s="465"/>
      <c r="D404" s="470">
        <f t="shared" si="295"/>
        <v>0</v>
      </c>
      <c r="E404" s="341"/>
      <c r="F404" s="341"/>
      <c r="G404" s="341"/>
      <c r="H404" s="341"/>
      <c r="I404" s="341"/>
      <c r="Y404" s="472"/>
      <c r="Z404" s="518"/>
      <c r="AA404" s="471"/>
      <c r="AB404" s="341"/>
      <c r="AD404" s="265"/>
      <c r="AE404" s="265"/>
      <c r="AF404" s="265"/>
      <c r="AG404" s="265"/>
      <c r="AH404" s="265"/>
      <c r="AI404" s="265"/>
      <c r="AJ404" s="265"/>
      <c r="AK404" s="265"/>
      <c r="AL404" s="265"/>
      <c r="AM404" s="265"/>
      <c r="AN404" s="265"/>
      <c r="AO404" s="265"/>
      <c r="AS404" s="329"/>
      <c r="AT404" s="173"/>
      <c r="AW404" s="471"/>
      <c r="AX404" s="341"/>
      <c r="BB404" s="470">
        <f t="shared" si="296"/>
        <v>0</v>
      </c>
      <c r="BC404" s="470">
        <f t="shared" si="297"/>
        <v>0</v>
      </c>
      <c r="BD404" s="444"/>
      <c r="BF404" s="336"/>
    </row>
    <row r="405" spans="2:58" hidden="1" outlineLevel="1" x14ac:dyDescent="0.35">
      <c r="B405" s="464" t="s">
        <v>67</v>
      </c>
      <c r="C405" s="465"/>
      <c r="D405" s="470">
        <f t="shared" si="295"/>
        <v>0</v>
      </c>
      <c r="E405" s="471"/>
      <c r="F405" s="471"/>
      <c r="G405" s="471"/>
      <c r="H405" s="471"/>
      <c r="I405" s="471"/>
      <c r="J405" s="472"/>
      <c r="K405" s="472"/>
      <c r="L405" s="472"/>
      <c r="M405" s="472"/>
      <c r="N405" s="472"/>
      <c r="O405" s="472"/>
      <c r="P405" s="472"/>
      <c r="Q405" s="472"/>
      <c r="R405" s="472"/>
      <c r="S405" s="472"/>
      <c r="T405" s="472"/>
      <c r="U405" s="472"/>
      <c r="V405" s="472"/>
      <c r="W405" s="472"/>
      <c r="X405" s="472"/>
      <c r="Y405" s="472"/>
      <c r="Z405" s="720"/>
      <c r="AA405" s="471"/>
      <c r="AB405" s="471"/>
      <c r="AC405" s="472"/>
      <c r="AD405" s="472"/>
      <c r="AE405" s="472"/>
      <c r="AF405" s="472"/>
      <c r="AG405" s="472"/>
      <c r="AH405" s="472"/>
      <c r="AI405" s="472"/>
      <c r="AJ405" s="472"/>
      <c r="AK405" s="472"/>
      <c r="AL405" s="472"/>
      <c r="AM405" s="472"/>
      <c r="AN405" s="472"/>
      <c r="AO405" s="472"/>
      <c r="AP405" s="472"/>
      <c r="AQ405" s="472"/>
      <c r="AR405" s="472"/>
      <c r="AS405" s="472"/>
      <c r="AT405" s="472"/>
      <c r="AU405" s="472"/>
      <c r="AV405" s="472"/>
      <c r="AW405" s="471"/>
      <c r="AX405" s="471"/>
      <c r="AY405" s="472"/>
      <c r="AZ405" s="472"/>
      <c r="BB405" s="470">
        <f t="shared" si="296"/>
        <v>0</v>
      </c>
      <c r="BC405" s="470">
        <f t="shared" si="297"/>
        <v>0</v>
      </c>
      <c r="BD405" s="444"/>
      <c r="BF405" s="336"/>
    </row>
    <row r="406" spans="2:58" hidden="1" outlineLevel="1" x14ac:dyDescent="0.35">
      <c r="B406" s="480" t="s">
        <v>68</v>
      </c>
      <c r="C406" s="465"/>
      <c r="D406" s="470">
        <f t="shared" si="295"/>
        <v>0</v>
      </c>
      <c r="E406" s="471"/>
      <c r="F406" s="471"/>
      <c r="G406" s="471"/>
      <c r="H406" s="471"/>
      <c r="I406" s="471"/>
      <c r="J406" s="472"/>
      <c r="K406" s="472"/>
      <c r="L406" s="472"/>
      <c r="M406" s="472"/>
      <c r="N406" s="472"/>
      <c r="O406" s="472"/>
      <c r="P406" s="472"/>
      <c r="Q406" s="472"/>
      <c r="R406" s="472"/>
      <c r="S406" s="472"/>
      <c r="T406" s="472"/>
      <c r="U406" s="472"/>
      <c r="V406" s="472"/>
      <c r="W406" s="472"/>
      <c r="X406" s="472"/>
      <c r="Y406" s="472"/>
      <c r="Z406" s="720"/>
      <c r="AA406" s="471"/>
      <c r="AB406" s="471"/>
      <c r="AC406" s="472"/>
      <c r="AD406" s="472"/>
      <c r="AE406" s="472"/>
      <c r="AF406" s="472"/>
      <c r="AG406" s="472"/>
      <c r="AH406" s="472"/>
      <c r="AI406" s="472"/>
      <c r="AJ406" s="472"/>
      <c r="AK406" s="472"/>
      <c r="AL406" s="472"/>
      <c r="AM406" s="472"/>
      <c r="AN406" s="472"/>
      <c r="AO406" s="472"/>
      <c r="AP406" s="472"/>
      <c r="AQ406" s="472"/>
      <c r="AR406" s="472"/>
      <c r="AS406" s="472"/>
      <c r="AT406" s="472"/>
      <c r="AU406" s="472"/>
      <c r="AV406" s="472"/>
      <c r="AW406" s="471"/>
      <c r="AX406" s="471"/>
      <c r="AY406" s="472"/>
      <c r="AZ406" s="472"/>
      <c r="BB406" s="470">
        <f t="shared" si="296"/>
        <v>0</v>
      </c>
      <c r="BC406" s="470">
        <f t="shared" si="297"/>
        <v>0</v>
      </c>
      <c r="BD406" s="444"/>
      <c r="BF406" s="336"/>
    </row>
    <row r="407" spans="2:58" hidden="1" outlineLevel="1" x14ac:dyDescent="0.35">
      <c r="B407" s="464" t="s">
        <v>69</v>
      </c>
      <c r="C407" s="465"/>
      <c r="D407" s="470">
        <f t="shared" si="295"/>
        <v>0</v>
      </c>
      <c r="E407" s="471"/>
      <c r="F407" s="471"/>
      <c r="G407" s="471"/>
      <c r="H407" s="471"/>
      <c r="I407" s="471"/>
      <c r="J407" s="472"/>
      <c r="K407" s="472"/>
      <c r="L407" s="472"/>
      <c r="M407" s="472"/>
      <c r="N407" s="472"/>
      <c r="O407" s="472"/>
      <c r="P407" s="472"/>
      <c r="Q407" s="472"/>
      <c r="R407" s="472"/>
      <c r="S407" s="472"/>
      <c r="T407" s="472"/>
      <c r="U407" s="472"/>
      <c r="V407" s="472"/>
      <c r="W407" s="472"/>
      <c r="X407" s="472"/>
      <c r="Y407" s="472"/>
      <c r="Z407" s="518"/>
      <c r="AA407" s="471"/>
      <c r="AB407" s="471"/>
      <c r="AC407" s="472"/>
      <c r="AD407" s="472"/>
      <c r="AE407" s="472"/>
      <c r="AF407" s="472"/>
      <c r="AG407" s="472"/>
      <c r="AH407" s="472"/>
      <c r="AI407" s="472"/>
      <c r="AJ407" s="472"/>
      <c r="AK407" s="472"/>
      <c r="AL407" s="472"/>
      <c r="AM407" s="472"/>
      <c r="AN407" s="472"/>
      <c r="AO407" s="472"/>
      <c r="AP407" s="472"/>
      <c r="AQ407" s="472"/>
      <c r="AR407" s="472"/>
      <c r="AS407" s="472"/>
      <c r="AT407" s="472"/>
      <c r="AU407" s="472"/>
      <c r="AV407" s="511"/>
      <c r="AW407" s="471"/>
      <c r="AX407" s="471"/>
      <c r="AY407" s="472"/>
      <c r="AZ407" s="472"/>
      <c r="BB407" s="470">
        <f t="shared" si="296"/>
        <v>0</v>
      </c>
      <c r="BC407" s="470">
        <f t="shared" si="297"/>
        <v>0</v>
      </c>
      <c r="BD407" s="444"/>
      <c r="BF407" s="336"/>
    </row>
    <row r="408" spans="2:58" hidden="1" outlineLevel="1" x14ac:dyDescent="0.35">
      <c r="B408" s="464" t="s">
        <v>70</v>
      </c>
      <c r="C408" s="465"/>
      <c r="D408" s="470">
        <f t="shared" si="295"/>
        <v>0</v>
      </c>
      <c r="E408" s="471">
        <f>'Common Adj'!$Q$66</f>
        <v>0</v>
      </c>
      <c r="F408" s="471"/>
      <c r="G408" s="471"/>
      <c r="H408" s="471"/>
      <c r="I408" s="471"/>
      <c r="J408" s="472"/>
      <c r="K408" s="472"/>
      <c r="L408" s="472"/>
      <c r="M408" s="472"/>
      <c r="N408" s="472"/>
      <c r="O408" s="472"/>
      <c r="P408" s="472"/>
      <c r="Q408" s="472"/>
      <c r="R408" s="472"/>
      <c r="S408" s="472"/>
      <c r="T408" s="472"/>
      <c r="U408" s="472"/>
      <c r="V408" s="472"/>
      <c r="W408" s="472"/>
      <c r="X408" s="472"/>
      <c r="Y408" s="472"/>
      <c r="Z408" s="720"/>
      <c r="AA408" s="471"/>
      <c r="AB408" s="471"/>
      <c r="AC408" s="472"/>
      <c r="AD408" s="472"/>
      <c r="AE408" s="472"/>
      <c r="AF408" s="472"/>
      <c r="AG408" s="472"/>
      <c r="AH408" s="472"/>
      <c r="AI408" s="472"/>
      <c r="AJ408" s="472"/>
      <c r="AK408" s="472"/>
      <c r="AL408" s="472"/>
      <c r="AM408" s="472"/>
      <c r="AN408" s="472"/>
      <c r="AO408" s="472"/>
      <c r="AP408" s="472"/>
      <c r="AQ408" s="472"/>
      <c r="AR408" s="472"/>
      <c r="AS408" s="472"/>
      <c r="AT408" s="472"/>
      <c r="AU408" s="472"/>
      <c r="AV408" s="472"/>
      <c r="AW408" s="471"/>
      <c r="AX408" s="471"/>
      <c r="AY408" s="472"/>
      <c r="AZ408" s="472"/>
      <c r="BB408" s="470">
        <f t="shared" si="296"/>
        <v>0</v>
      </c>
      <c r="BC408" s="470">
        <f t="shared" si="297"/>
        <v>0</v>
      </c>
      <c r="BD408" s="444"/>
      <c r="BF408" s="336"/>
    </row>
    <row r="409" spans="2:58" hidden="1" outlineLevel="1" x14ac:dyDescent="0.35">
      <c r="B409" s="464" t="s">
        <v>71</v>
      </c>
      <c r="C409" s="465"/>
      <c r="D409" s="470">
        <f t="shared" si="295"/>
        <v>0</v>
      </c>
      <c r="E409" s="471">
        <f>'Common Adj'!$Q$70</f>
        <v>0</v>
      </c>
      <c r="F409" s="471"/>
      <c r="G409" s="471"/>
      <c r="H409" s="471"/>
      <c r="I409" s="471">
        <f>'Common Adj'!CK23</f>
        <v>0</v>
      </c>
      <c r="J409" s="472"/>
      <c r="K409" s="472"/>
      <c r="L409" s="472"/>
      <c r="M409" s="472"/>
      <c r="N409" s="472"/>
      <c r="O409" s="472"/>
      <c r="P409" s="472"/>
      <c r="Q409" s="472"/>
      <c r="R409" s="472"/>
      <c r="S409" s="472"/>
      <c r="T409" s="472"/>
      <c r="U409" s="472"/>
      <c r="V409" s="472"/>
      <c r="W409" s="472"/>
      <c r="X409" s="472"/>
      <c r="Y409" s="472"/>
      <c r="Z409" s="720"/>
      <c r="AA409" s="471"/>
      <c r="AB409" s="471"/>
      <c r="AC409" s="472"/>
      <c r="AD409" s="472"/>
      <c r="AE409" s="472"/>
      <c r="AF409" s="472"/>
      <c r="AG409" s="472"/>
      <c r="AH409" s="472"/>
      <c r="AI409" s="511"/>
      <c r="AJ409" s="511"/>
      <c r="AK409" s="511"/>
      <c r="AL409" s="511"/>
      <c r="AM409" s="511"/>
      <c r="AN409" s="511"/>
      <c r="AO409" s="511"/>
      <c r="AP409" s="472"/>
      <c r="AQ409" s="472"/>
      <c r="AR409" s="472"/>
      <c r="AS409" s="472"/>
      <c r="AT409" s="481"/>
      <c r="AU409" s="472"/>
      <c r="AV409" s="511"/>
      <c r="AW409" s="471"/>
      <c r="AX409" s="471"/>
      <c r="AY409" s="472"/>
      <c r="AZ409" s="472"/>
      <c r="BB409" s="470">
        <f t="shared" si="296"/>
        <v>0</v>
      </c>
      <c r="BC409" s="470">
        <f t="shared" si="297"/>
        <v>0</v>
      </c>
      <c r="BD409" s="444"/>
      <c r="BF409" s="336"/>
    </row>
    <row r="410" spans="2:58" hidden="1" outlineLevel="1" x14ac:dyDescent="0.35">
      <c r="B410" s="329" t="s">
        <v>72</v>
      </c>
      <c r="C410" s="465"/>
      <c r="D410" s="470">
        <f t="shared" si="295"/>
        <v>0</v>
      </c>
      <c r="E410" s="471"/>
      <c r="F410" s="471"/>
      <c r="G410" s="471"/>
      <c r="H410" s="471"/>
      <c r="I410" s="471"/>
      <c r="J410" s="472"/>
      <c r="K410" s="472"/>
      <c r="L410" s="472"/>
      <c r="M410" s="472"/>
      <c r="N410" s="472"/>
      <c r="O410" s="472"/>
      <c r="P410" s="472"/>
      <c r="Q410" s="472"/>
      <c r="R410" s="472"/>
      <c r="S410" s="472"/>
      <c r="T410" s="472"/>
      <c r="U410" s="472"/>
      <c r="V410" s="472"/>
      <c r="W410" s="472"/>
      <c r="X410" s="472"/>
      <c r="Y410" s="472"/>
      <c r="Z410" s="471"/>
      <c r="AA410" s="471"/>
      <c r="AB410" s="471"/>
      <c r="AC410" s="472"/>
      <c r="AD410" s="472"/>
      <c r="AE410" s="472"/>
      <c r="AF410" s="472"/>
      <c r="AG410" s="472"/>
      <c r="AH410" s="472"/>
      <c r="AI410" s="472"/>
      <c r="AJ410" s="472"/>
      <c r="AK410" s="472"/>
      <c r="AL410" s="472"/>
      <c r="AM410" s="472"/>
      <c r="AN410" s="472"/>
      <c r="AO410" s="472"/>
      <c r="AP410" s="472"/>
      <c r="AQ410" s="472"/>
      <c r="AR410" s="472"/>
      <c r="AS410" s="472"/>
      <c r="AT410" s="472"/>
      <c r="AU410" s="472"/>
      <c r="AV410" s="472"/>
      <c r="AW410" s="471"/>
      <c r="AX410" s="471"/>
      <c r="AY410" s="472"/>
      <c r="AZ410" s="472"/>
      <c r="BB410" s="470">
        <f t="shared" si="296"/>
        <v>0</v>
      </c>
      <c r="BC410" s="470">
        <f t="shared" si="297"/>
        <v>0</v>
      </c>
      <c r="BD410" s="444"/>
      <c r="BF410" s="336"/>
    </row>
    <row r="411" spans="2:58" hidden="1" outlineLevel="1" x14ac:dyDescent="0.35">
      <c r="B411" s="464" t="s">
        <v>2</v>
      </c>
      <c r="C411" s="465"/>
      <c r="D411" s="477">
        <f>SUM(D395:D410)</f>
        <v>0</v>
      </c>
      <c r="E411" s="479">
        <f t="shared" ref="E411:BC411" si="298">SUM(E395:E410)</f>
        <v>0</v>
      </c>
      <c r="F411" s="479">
        <f t="shared" si="298"/>
        <v>0</v>
      </c>
      <c r="G411" s="479">
        <f t="shared" si="298"/>
        <v>0</v>
      </c>
      <c r="H411" s="479">
        <f t="shared" si="298"/>
        <v>0</v>
      </c>
      <c r="I411" s="479">
        <f t="shared" si="298"/>
        <v>0</v>
      </c>
      <c r="J411" s="479">
        <f t="shared" si="298"/>
        <v>0</v>
      </c>
      <c r="K411" s="479">
        <f t="shared" si="298"/>
        <v>0</v>
      </c>
      <c r="L411" s="479">
        <f t="shared" si="298"/>
        <v>0</v>
      </c>
      <c r="M411" s="479">
        <f t="shared" si="298"/>
        <v>0</v>
      </c>
      <c r="N411" s="479">
        <f t="shared" si="298"/>
        <v>0</v>
      </c>
      <c r="O411" s="479">
        <f t="shared" si="298"/>
        <v>0</v>
      </c>
      <c r="P411" s="479">
        <f t="shared" si="298"/>
        <v>0</v>
      </c>
      <c r="Q411" s="479">
        <f t="shared" si="298"/>
        <v>0</v>
      </c>
      <c r="R411" s="479">
        <f t="shared" si="298"/>
        <v>0</v>
      </c>
      <c r="S411" s="479">
        <f t="shared" si="298"/>
        <v>0</v>
      </c>
      <c r="T411" s="479">
        <f t="shared" si="298"/>
        <v>0</v>
      </c>
      <c r="U411" s="479">
        <f t="shared" si="298"/>
        <v>0</v>
      </c>
      <c r="V411" s="479">
        <f t="shared" si="298"/>
        <v>0</v>
      </c>
      <c r="W411" s="479">
        <f t="shared" si="298"/>
        <v>0</v>
      </c>
      <c r="X411" s="479">
        <f t="shared" si="298"/>
        <v>0</v>
      </c>
      <c r="Y411" s="479">
        <f t="shared" si="298"/>
        <v>0</v>
      </c>
      <c r="Z411" s="479">
        <f t="shared" si="298"/>
        <v>0</v>
      </c>
      <c r="AA411" s="478">
        <f t="shared" si="298"/>
        <v>0</v>
      </c>
      <c r="AB411" s="478">
        <f t="shared" si="298"/>
        <v>0</v>
      </c>
      <c r="AC411" s="479">
        <f t="shared" si="298"/>
        <v>0</v>
      </c>
      <c r="AD411" s="479">
        <f t="shared" ref="AD411" si="299">SUM(AD395:AD410)</f>
        <v>0</v>
      </c>
      <c r="AE411" s="479">
        <f t="shared" si="298"/>
        <v>0</v>
      </c>
      <c r="AF411" s="479">
        <f t="shared" si="298"/>
        <v>0</v>
      </c>
      <c r="AG411" s="479">
        <f t="shared" si="298"/>
        <v>0</v>
      </c>
      <c r="AH411" s="479">
        <f t="shared" si="298"/>
        <v>0</v>
      </c>
      <c r="AI411" s="523">
        <f t="shared" si="298"/>
        <v>0</v>
      </c>
      <c r="AJ411" s="523"/>
      <c r="AK411" s="523"/>
      <c r="AL411" s="523"/>
      <c r="AM411" s="523"/>
      <c r="AN411" s="523"/>
      <c r="AO411" s="523"/>
      <c r="AP411" s="479">
        <f t="shared" si="298"/>
        <v>0</v>
      </c>
      <c r="AQ411" s="479">
        <f t="shared" si="298"/>
        <v>0</v>
      </c>
      <c r="AR411" s="479">
        <f t="shared" si="298"/>
        <v>0</v>
      </c>
      <c r="AS411" s="479">
        <f t="shared" ref="AS411" si="300">SUM(AS395:AS410)</f>
        <v>0</v>
      </c>
      <c r="AT411" s="479"/>
      <c r="AU411" s="479"/>
      <c r="AV411" s="479"/>
      <c r="AW411" s="478"/>
      <c r="AX411" s="478"/>
      <c r="AY411" s="479"/>
      <c r="AZ411" s="479"/>
      <c r="BB411" s="477">
        <f t="shared" si="298"/>
        <v>0</v>
      </c>
      <c r="BC411" s="477">
        <f t="shared" si="298"/>
        <v>0</v>
      </c>
      <c r="BD411" s="444"/>
      <c r="BF411" s="336"/>
    </row>
    <row r="412" spans="2:58" hidden="1" outlineLevel="1" x14ac:dyDescent="0.35">
      <c r="C412" s="465"/>
      <c r="D412" s="482"/>
      <c r="E412" s="483"/>
      <c r="F412" s="483"/>
      <c r="G412" s="483"/>
      <c r="H412" s="483"/>
      <c r="I412" s="483"/>
      <c r="J412" s="483"/>
      <c r="K412" s="483"/>
      <c r="L412" s="483"/>
      <c r="M412" s="483"/>
      <c r="N412" s="483"/>
      <c r="O412" s="483"/>
      <c r="P412" s="483"/>
      <c r="Q412" s="483"/>
      <c r="R412" s="483"/>
      <c r="S412" s="483"/>
      <c r="T412" s="483"/>
      <c r="U412" s="483"/>
      <c r="V412" s="483"/>
      <c r="W412" s="483"/>
      <c r="X412" s="483"/>
      <c r="Y412" s="483"/>
      <c r="Z412" s="483"/>
      <c r="AA412" s="363"/>
      <c r="AB412" s="363"/>
      <c r="AC412" s="483"/>
      <c r="AD412" s="483"/>
      <c r="AE412" s="483"/>
      <c r="AF412" s="483"/>
      <c r="AG412" s="483"/>
      <c r="AH412" s="483"/>
      <c r="AI412" s="483"/>
      <c r="AJ412" s="483"/>
      <c r="AK412" s="483"/>
      <c r="AL412" s="483"/>
      <c r="AM412" s="483"/>
      <c r="AN412" s="483"/>
      <c r="AO412" s="483"/>
      <c r="AP412" s="483"/>
      <c r="AQ412" s="483"/>
      <c r="AR412" s="483"/>
      <c r="AS412" s="483"/>
      <c r="AT412" s="483"/>
      <c r="AU412" s="483"/>
      <c r="AV412" s="483"/>
      <c r="AW412" s="363"/>
      <c r="AX412" s="363"/>
      <c r="AY412" s="483"/>
      <c r="AZ412" s="483"/>
      <c r="BB412" s="482"/>
      <c r="BC412" s="482"/>
      <c r="BD412" s="444"/>
      <c r="BF412" s="336"/>
    </row>
    <row r="413" spans="2:58" ht="15" hidden="1" outlineLevel="1" thickBot="1" x14ac:dyDescent="0.4">
      <c r="B413" s="329" t="s">
        <v>4</v>
      </c>
      <c r="C413" s="465"/>
      <c r="D413" s="484">
        <f t="shared" ref="D413:BC413" si="301">+D386-D411</f>
        <v>0</v>
      </c>
      <c r="E413" s="486">
        <f t="shared" si="301"/>
        <v>0</v>
      </c>
      <c r="F413" s="486">
        <f t="shared" si="301"/>
        <v>0</v>
      </c>
      <c r="G413" s="486">
        <f t="shared" si="301"/>
        <v>0</v>
      </c>
      <c r="H413" s="486">
        <f t="shared" si="301"/>
        <v>0</v>
      </c>
      <c r="I413" s="486">
        <f t="shared" si="301"/>
        <v>0</v>
      </c>
      <c r="J413" s="486">
        <f t="shared" si="301"/>
        <v>0</v>
      </c>
      <c r="K413" s="486">
        <f t="shared" si="301"/>
        <v>0</v>
      </c>
      <c r="L413" s="486">
        <f t="shared" si="301"/>
        <v>0</v>
      </c>
      <c r="M413" s="486">
        <f t="shared" si="301"/>
        <v>0</v>
      </c>
      <c r="N413" s="486">
        <f t="shared" si="301"/>
        <v>0</v>
      </c>
      <c r="O413" s="486">
        <f t="shared" si="301"/>
        <v>0</v>
      </c>
      <c r="P413" s="486">
        <f t="shared" si="301"/>
        <v>0</v>
      </c>
      <c r="Q413" s="486">
        <f t="shared" si="301"/>
        <v>0</v>
      </c>
      <c r="R413" s="486">
        <f t="shared" si="301"/>
        <v>0</v>
      </c>
      <c r="S413" s="486">
        <f t="shared" si="301"/>
        <v>0</v>
      </c>
      <c r="T413" s="486">
        <f t="shared" si="301"/>
        <v>0</v>
      </c>
      <c r="U413" s="486">
        <f t="shared" si="301"/>
        <v>0</v>
      </c>
      <c r="V413" s="486">
        <f t="shared" si="301"/>
        <v>0</v>
      </c>
      <c r="W413" s="486">
        <f t="shared" si="301"/>
        <v>0</v>
      </c>
      <c r="X413" s="486">
        <f t="shared" si="301"/>
        <v>0</v>
      </c>
      <c r="Y413" s="486">
        <f t="shared" si="301"/>
        <v>0</v>
      </c>
      <c r="Z413" s="486">
        <f t="shared" si="301"/>
        <v>0</v>
      </c>
      <c r="AA413" s="485">
        <f t="shared" si="301"/>
        <v>0</v>
      </c>
      <c r="AB413" s="485">
        <f t="shared" si="301"/>
        <v>0</v>
      </c>
      <c r="AC413" s="486">
        <f t="shared" si="301"/>
        <v>0</v>
      </c>
      <c r="AD413" s="486">
        <f t="shared" ref="AD413" si="302">+AD386-AD411</f>
        <v>0</v>
      </c>
      <c r="AE413" s="486">
        <f t="shared" si="301"/>
        <v>0</v>
      </c>
      <c r="AF413" s="486">
        <f t="shared" si="301"/>
        <v>0</v>
      </c>
      <c r="AG413" s="486">
        <f t="shared" si="301"/>
        <v>0</v>
      </c>
      <c r="AH413" s="486">
        <f t="shared" si="301"/>
        <v>0</v>
      </c>
      <c r="AI413" s="524">
        <f t="shared" si="301"/>
        <v>0</v>
      </c>
      <c r="AJ413" s="524"/>
      <c r="AK413" s="524"/>
      <c r="AL413" s="524"/>
      <c r="AM413" s="524"/>
      <c r="AN413" s="524"/>
      <c r="AO413" s="524"/>
      <c r="AP413" s="486">
        <f t="shared" si="301"/>
        <v>0</v>
      </c>
      <c r="AQ413" s="486">
        <f t="shared" si="301"/>
        <v>0</v>
      </c>
      <c r="AR413" s="486">
        <f t="shared" si="301"/>
        <v>0</v>
      </c>
      <c r="AS413" s="486">
        <f t="shared" ref="AS413" si="303">+AS386-AS411</f>
        <v>0</v>
      </c>
      <c r="AT413" s="486"/>
      <c r="AU413" s="486"/>
      <c r="AV413" s="486"/>
      <c r="AW413" s="485"/>
      <c r="AX413" s="485"/>
      <c r="AY413" s="486"/>
      <c r="AZ413" s="486"/>
      <c r="BB413" s="484">
        <f t="shared" si="301"/>
        <v>0</v>
      </c>
      <c r="BC413" s="484">
        <f t="shared" si="301"/>
        <v>0</v>
      </c>
      <c r="BD413" s="444"/>
      <c r="BF413" s="336"/>
    </row>
    <row r="414" spans="2:58" ht="15" hidden="1" outlineLevel="1" thickTop="1" x14ac:dyDescent="0.35">
      <c r="B414"/>
      <c r="C414" s="465"/>
      <c r="D414" s="219"/>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416"/>
      <c r="AA414" s="416"/>
      <c r="AB414" s="4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416"/>
      <c r="AX414" s="416"/>
      <c r="AY414" s="116"/>
      <c r="AZ414" s="116"/>
      <c r="BB414" s="219"/>
      <c r="BC414" s="219"/>
      <c r="BD414" s="444"/>
      <c r="BF414" s="336"/>
    </row>
    <row r="415" spans="2:58" hidden="1" outlineLevel="1" x14ac:dyDescent="0.35">
      <c r="B415" s="464" t="s">
        <v>124</v>
      </c>
      <c r="C415" s="465"/>
      <c r="D415" s="476">
        <f t="shared" ref="D415:BC415" si="304">D426</f>
        <v>0</v>
      </c>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420"/>
      <c r="AA415" s="420"/>
      <c r="AB415" s="420"/>
      <c r="AC415" s="173"/>
      <c r="AD415" s="173"/>
      <c r="AE415" s="173"/>
      <c r="AF415" s="173"/>
      <c r="AG415" s="173"/>
      <c r="AH415" s="173"/>
      <c r="AI415" s="173"/>
      <c r="AJ415" s="173"/>
      <c r="AK415" s="173"/>
      <c r="AL415" s="173"/>
      <c r="AM415" s="173"/>
      <c r="AN415" s="173"/>
      <c r="AO415" s="173"/>
      <c r="AP415" s="173"/>
      <c r="AQ415" s="173">
        <f>AQ426</f>
        <v>0</v>
      </c>
      <c r="AR415" s="173"/>
      <c r="AS415" s="173"/>
      <c r="AT415" s="173"/>
      <c r="AU415" s="173"/>
      <c r="AV415" s="173"/>
      <c r="AW415" s="420"/>
      <c r="AX415" s="420"/>
      <c r="AY415" s="173"/>
      <c r="AZ415" s="173"/>
      <c r="BB415" s="476">
        <f t="shared" si="304"/>
        <v>0</v>
      </c>
      <c r="BC415" s="476">
        <f t="shared" si="304"/>
        <v>0</v>
      </c>
      <c r="BD415" s="444"/>
      <c r="BF415" s="336"/>
    </row>
    <row r="416" spans="2:58" hidden="1" outlineLevel="1" x14ac:dyDescent="0.35">
      <c r="C416" s="465"/>
      <c r="D416" s="466"/>
      <c r="Z416" s="341"/>
      <c r="AA416" s="341"/>
      <c r="AB416" s="341"/>
      <c r="AS416" s="329"/>
      <c r="AW416" s="341"/>
      <c r="AX416" s="341"/>
      <c r="BB416" s="466"/>
      <c r="BC416" s="466"/>
      <c r="BD416" s="444"/>
      <c r="BF416" s="336"/>
    </row>
    <row r="417" spans="2:58" hidden="1" outlineLevel="1" x14ac:dyDescent="0.35">
      <c r="B417" s="464" t="s">
        <v>125</v>
      </c>
      <c r="C417" s="465"/>
      <c r="D417" s="488" t="e">
        <f>+D413/D415</f>
        <v>#DIV/0!</v>
      </c>
      <c r="E417" s="472"/>
      <c r="F417" s="472"/>
      <c r="G417" s="472"/>
      <c r="H417" s="472"/>
      <c r="I417" s="472"/>
      <c r="J417" s="472"/>
      <c r="K417" s="472"/>
      <c r="L417" s="472"/>
      <c r="M417" s="472"/>
      <c r="N417" s="472"/>
      <c r="O417" s="472"/>
      <c r="P417" s="472"/>
      <c r="Q417" s="472"/>
      <c r="R417" s="472"/>
      <c r="S417" s="472"/>
      <c r="T417" s="472"/>
      <c r="U417" s="472"/>
      <c r="V417" s="472"/>
      <c r="W417" s="472"/>
      <c r="X417" s="472"/>
      <c r="Y417" s="472"/>
      <c r="Z417" s="471"/>
      <c r="AA417" s="471"/>
      <c r="AB417" s="471"/>
      <c r="AC417" s="472"/>
      <c r="AD417" s="472"/>
      <c r="AE417" s="472"/>
      <c r="AF417" s="472"/>
      <c r="AG417" s="472"/>
      <c r="AH417" s="472"/>
      <c r="AI417" s="472"/>
      <c r="AJ417" s="472"/>
      <c r="AK417" s="472"/>
      <c r="AL417" s="472"/>
      <c r="AM417" s="472"/>
      <c r="AN417" s="472"/>
      <c r="AO417" s="472"/>
      <c r="AP417" s="472"/>
      <c r="AQ417" s="472"/>
      <c r="AR417" s="472"/>
      <c r="AS417" s="472"/>
      <c r="AT417" s="472"/>
      <c r="AU417" s="472"/>
      <c r="AV417" s="472"/>
      <c r="AW417" s="471"/>
      <c r="AX417" s="471"/>
      <c r="AY417" s="472"/>
      <c r="AZ417" s="472"/>
      <c r="BB417" s="488"/>
      <c r="BC417" s="488"/>
      <c r="BD417" s="444"/>
      <c r="BF417" s="336"/>
    </row>
    <row r="418" spans="2:58" hidden="1" outlineLevel="1" x14ac:dyDescent="0.35">
      <c r="C418" s="465"/>
      <c r="D418" s="470"/>
      <c r="E418" s="472"/>
      <c r="F418" s="472"/>
      <c r="G418" s="472"/>
      <c r="H418" s="472"/>
      <c r="I418" s="472"/>
      <c r="J418" s="472"/>
      <c r="K418" s="472"/>
      <c r="L418" s="472"/>
      <c r="M418" s="472"/>
      <c r="N418" s="472"/>
      <c r="O418" s="472"/>
      <c r="P418" s="472"/>
      <c r="Q418" s="472"/>
      <c r="R418" s="472"/>
      <c r="S418" s="472"/>
      <c r="T418" s="472"/>
      <c r="U418" s="472"/>
      <c r="V418" s="472"/>
      <c r="W418" s="472"/>
      <c r="X418" s="472"/>
      <c r="Y418" s="472"/>
      <c r="Z418" s="471"/>
      <c r="AA418" s="471"/>
      <c r="AB418" s="471"/>
      <c r="AC418" s="472"/>
      <c r="AD418" s="472"/>
      <c r="AE418" s="472"/>
      <c r="AF418" s="472"/>
      <c r="AG418" s="472"/>
      <c r="AH418" s="472"/>
      <c r="AI418" s="472"/>
      <c r="AJ418" s="472"/>
      <c r="AK418" s="472"/>
      <c r="AL418" s="472"/>
      <c r="AM418" s="472"/>
      <c r="AN418" s="472"/>
      <c r="AO418" s="472"/>
      <c r="AP418" s="472"/>
      <c r="AQ418" s="472"/>
      <c r="AR418" s="472"/>
      <c r="AS418" s="472"/>
      <c r="AT418" s="472"/>
      <c r="AU418" s="472"/>
      <c r="AV418" s="472"/>
      <c r="AW418" s="471"/>
      <c r="AX418" s="471"/>
      <c r="AY418" s="472"/>
      <c r="AZ418" s="472"/>
      <c r="BB418" s="470"/>
      <c r="BC418" s="470"/>
      <c r="BD418" s="444"/>
      <c r="BF418" s="336"/>
    </row>
    <row r="419" spans="2:58" hidden="1" outlineLevel="1" x14ac:dyDescent="0.35">
      <c r="B419" s="329" t="s">
        <v>126</v>
      </c>
      <c r="C419" s="465"/>
      <c r="D419" s="470"/>
      <c r="E419" s="472"/>
      <c r="F419" s="472"/>
      <c r="G419" s="472"/>
      <c r="H419" s="472"/>
      <c r="I419" s="472"/>
      <c r="J419" s="472"/>
      <c r="K419" s="472"/>
      <c r="L419" s="472"/>
      <c r="M419" s="472"/>
      <c r="N419" s="472"/>
      <c r="O419" s="472"/>
      <c r="P419" s="472"/>
      <c r="Q419" s="472"/>
      <c r="R419" s="472"/>
      <c r="S419" s="472"/>
      <c r="T419" s="472"/>
      <c r="U419" s="472"/>
      <c r="V419" s="472"/>
      <c r="W419" s="472"/>
      <c r="X419" s="472"/>
      <c r="Y419" s="472"/>
      <c r="Z419" s="471"/>
      <c r="AA419" s="471"/>
      <c r="AB419" s="471"/>
      <c r="AC419" s="472"/>
      <c r="AD419" s="472"/>
      <c r="AE419" s="472"/>
      <c r="AF419" s="472"/>
      <c r="AG419" s="472"/>
      <c r="AH419" s="472"/>
      <c r="AI419" s="472"/>
      <c r="AJ419" s="472"/>
      <c r="AK419" s="472"/>
      <c r="AL419" s="472"/>
      <c r="AM419" s="472"/>
      <c r="AN419" s="472"/>
      <c r="AO419" s="472"/>
      <c r="AP419" s="472"/>
      <c r="AQ419" s="472"/>
      <c r="AR419" s="472"/>
      <c r="AS419" s="472"/>
      <c r="AT419" s="472"/>
      <c r="AU419" s="472"/>
      <c r="AV419" s="472"/>
      <c r="AW419" s="471"/>
      <c r="AX419" s="471"/>
      <c r="AY419" s="472"/>
      <c r="AZ419" s="472"/>
      <c r="BB419" s="470"/>
      <c r="BC419" s="470"/>
      <c r="BD419" s="444"/>
      <c r="BF419" s="336"/>
    </row>
    <row r="420" spans="2:58" hidden="1" outlineLevel="1" x14ac:dyDescent="0.35">
      <c r="B420" s="490" t="s">
        <v>20</v>
      </c>
      <c r="C420" s="465"/>
      <c r="D420" s="476">
        <f t="shared" ref="D420:D425" si="305">+BC359</f>
        <v>0</v>
      </c>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420"/>
      <c r="AA420" s="420"/>
      <c r="AB420" s="420"/>
      <c r="AC420" s="173"/>
      <c r="AD420" s="173">
        <f>'Common Adj'!QZ17</f>
        <v>0</v>
      </c>
      <c r="AE420" s="173"/>
      <c r="AF420" s="173"/>
      <c r="AG420" s="173"/>
      <c r="AH420" s="173"/>
      <c r="AI420" s="173"/>
      <c r="AJ420" s="173"/>
      <c r="AK420" s="173"/>
      <c r="AL420" s="173"/>
      <c r="AM420" s="173"/>
      <c r="AN420" s="173"/>
      <c r="AO420" s="173"/>
      <c r="AP420" s="173"/>
      <c r="AQ420" s="173"/>
      <c r="AR420" s="173"/>
      <c r="AS420" s="173"/>
      <c r="AT420" s="173"/>
      <c r="AU420" s="173"/>
      <c r="AV420" s="173"/>
      <c r="AW420" s="420"/>
      <c r="AX420" s="420"/>
      <c r="AY420" s="173"/>
      <c r="AZ420" s="173"/>
      <c r="BB420" s="476">
        <f t="shared" ref="BB420:BB425" si="306">SUM(E420:AZ420)</f>
        <v>0</v>
      </c>
      <c r="BC420" s="476">
        <f t="shared" ref="BC420:BC425" si="307">+BB420+D420</f>
        <v>0</v>
      </c>
      <c r="BD420" s="444"/>
      <c r="BF420" s="336"/>
    </row>
    <row r="421" spans="2:58" hidden="1" outlineLevel="1" x14ac:dyDescent="0.35">
      <c r="B421" s="490" t="s">
        <v>21</v>
      </c>
      <c r="C421" s="465"/>
      <c r="D421" s="470">
        <f t="shared" si="305"/>
        <v>0</v>
      </c>
      <c r="E421" s="472"/>
      <c r="F421" s="472"/>
      <c r="G421" s="472"/>
      <c r="H421" s="472"/>
      <c r="I421" s="472"/>
      <c r="J421" s="472"/>
      <c r="K421" s="472"/>
      <c r="L421" s="472"/>
      <c r="M421" s="472"/>
      <c r="N421" s="472"/>
      <c r="O421" s="472"/>
      <c r="P421" s="472"/>
      <c r="Q421" s="472"/>
      <c r="R421" s="472"/>
      <c r="S421" s="472"/>
      <c r="T421" s="472"/>
      <c r="U421" s="472"/>
      <c r="V421" s="472"/>
      <c r="W421" s="472"/>
      <c r="X421" s="472"/>
      <c r="Y421" s="472"/>
      <c r="Z421" s="471"/>
      <c r="AA421" s="471"/>
      <c r="AB421" s="471"/>
      <c r="AC421" s="472"/>
      <c r="AD421" s="472">
        <f>'Common Adj'!QZ18</f>
        <v>0</v>
      </c>
      <c r="AE421" s="472"/>
      <c r="AF421" s="472"/>
      <c r="AG421" s="472"/>
      <c r="AH421" s="472"/>
      <c r="AI421" s="472"/>
      <c r="AJ421" s="472"/>
      <c r="AK421" s="472"/>
      <c r="AL421" s="472"/>
      <c r="AM421" s="472"/>
      <c r="AN421" s="472"/>
      <c r="AO421" s="472"/>
      <c r="AP421" s="472"/>
      <c r="AQ421" s="472"/>
      <c r="AR421" s="472"/>
      <c r="AS421" s="472"/>
      <c r="AT421" s="481"/>
      <c r="AU421" s="472"/>
      <c r="AV421" s="472"/>
      <c r="AW421" s="471"/>
      <c r="AX421" s="471"/>
      <c r="AY421" s="472"/>
      <c r="AZ421" s="472"/>
      <c r="BB421" s="470">
        <f t="shared" si="306"/>
        <v>0</v>
      </c>
      <c r="BC421" s="470">
        <f t="shared" si="307"/>
        <v>0</v>
      </c>
      <c r="BD421" s="444"/>
      <c r="BF421" s="336"/>
    </row>
    <row r="422" spans="2:58" hidden="1" outlineLevel="1" x14ac:dyDescent="0.35">
      <c r="B422" s="329" t="s">
        <v>127</v>
      </c>
      <c r="C422" s="465"/>
      <c r="D422" s="470">
        <f t="shared" si="305"/>
        <v>0</v>
      </c>
      <c r="E422" s="472"/>
      <c r="F422" s="472"/>
      <c r="G422" s="472"/>
      <c r="H422" s="472"/>
      <c r="I422" s="472"/>
      <c r="J422" s="472"/>
      <c r="K422" s="472"/>
      <c r="L422" s="472"/>
      <c r="M422" s="472"/>
      <c r="N422" s="472"/>
      <c r="O422" s="472"/>
      <c r="P422" s="472"/>
      <c r="Q422" s="472"/>
      <c r="R422" s="472"/>
      <c r="S422" s="472"/>
      <c r="T422" s="472"/>
      <c r="U422" s="472"/>
      <c r="V422" s="472"/>
      <c r="W422" s="472"/>
      <c r="X422" s="472"/>
      <c r="Y422" s="472"/>
      <c r="Z422" s="471"/>
      <c r="AA422" s="471"/>
      <c r="AB422" s="471"/>
      <c r="AC422" s="472"/>
      <c r="AD422" s="472"/>
      <c r="AE422" s="472"/>
      <c r="AF422" s="472"/>
      <c r="AG422" s="472"/>
      <c r="AH422" s="472"/>
      <c r="AI422" s="472"/>
      <c r="AJ422" s="472"/>
      <c r="AK422" s="472"/>
      <c r="AL422" s="472"/>
      <c r="AM422" s="472"/>
      <c r="AN422" s="472"/>
      <c r="AO422" s="472"/>
      <c r="AP422" s="472"/>
      <c r="AQ422" s="472"/>
      <c r="AR422" s="472"/>
      <c r="AS422" s="472"/>
      <c r="AT422" s="481"/>
      <c r="AU422" s="472"/>
      <c r="AV422" s="472"/>
      <c r="AW422" s="471"/>
      <c r="AX422" s="471"/>
      <c r="AY422" s="472"/>
      <c r="AZ422" s="472"/>
      <c r="BB422" s="470">
        <f t="shared" si="306"/>
        <v>0</v>
      </c>
      <c r="BC422" s="470">
        <f t="shared" si="307"/>
        <v>0</v>
      </c>
      <c r="BD422" s="444"/>
      <c r="BF422" s="336"/>
    </row>
    <row r="423" spans="2:58" hidden="1" outlineLevel="1" x14ac:dyDescent="0.35">
      <c r="B423" s="329" t="s">
        <v>128</v>
      </c>
      <c r="C423" s="465"/>
      <c r="D423" s="470">
        <f t="shared" si="305"/>
        <v>0</v>
      </c>
      <c r="E423" s="472"/>
      <c r="F423" s="472"/>
      <c r="G423" s="472"/>
      <c r="H423" s="472"/>
      <c r="I423" s="472"/>
      <c r="J423" s="472"/>
      <c r="K423" s="472"/>
      <c r="L423" s="472"/>
      <c r="M423" s="472"/>
      <c r="N423" s="472"/>
      <c r="O423" s="472"/>
      <c r="P423" s="472"/>
      <c r="Q423" s="472"/>
      <c r="R423" s="472"/>
      <c r="S423" s="472"/>
      <c r="T423" s="472"/>
      <c r="U423" s="472"/>
      <c r="V423" s="472"/>
      <c r="W423" s="472"/>
      <c r="X423" s="472"/>
      <c r="Z423" s="471"/>
      <c r="AA423" s="471"/>
      <c r="AB423" s="471"/>
      <c r="AC423" s="472"/>
      <c r="AD423" s="472"/>
      <c r="AE423" s="472"/>
      <c r="AF423" s="472"/>
      <c r="AG423" s="472"/>
      <c r="AH423" s="472"/>
      <c r="AI423" s="472"/>
      <c r="AJ423" s="472"/>
      <c r="AK423" s="472"/>
      <c r="AL423" s="472"/>
      <c r="AM423" s="472"/>
      <c r="AN423" s="472"/>
      <c r="AO423" s="472"/>
      <c r="AP423" s="472"/>
      <c r="AQ423" s="472"/>
      <c r="AR423" s="472"/>
      <c r="AS423" s="472"/>
      <c r="AT423" s="265"/>
      <c r="AU423" s="472"/>
      <c r="AV423" s="472"/>
      <c r="AW423" s="471"/>
      <c r="AX423" s="471"/>
      <c r="AY423" s="472"/>
      <c r="AZ423" s="472"/>
      <c r="BB423" s="470">
        <f t="shared" si="306"/>
        <v>0</v>
      </c>
      <c r="BC423" s="470">
        <f t="shared" si="307"/>
        <v>0</v>
      </c>
      <c r="BD423" s="444"/>
      <c r="BF423" s="336"/>
    </row>
    <row r="424" spans="2:58" hidden="1" outlineLevel="1" x14ac:dyDescent="0.35">
      <c r="B424" s="329" t="s">
        <v>129</v>
      </c>
      <c r="C424" s="465"/>
      <c r="D424" s="491">
        <f t="shared" si="305"/>
        <v>0</v>
      </c>
      <c r="E424" s="472"/>
      <c r="F424" s="472"/>
      <c r="G424" s="472"/>
      <c r="H424" s="472"/>
      <c r="I424" s="472"/>
      <c r="J424" s="472"/>
      <c r="K424" s="472"/>
      <c r="L424" s="472"/>
      <c r="M424" s="472"/>
      <c r="N424" s="472"/>
      <c r="O424" s="472"/>
      <c r="P424" s="472"/>
      <c r="Q424" s="472"/>
      <c r="R424" s="472"/>
      <c r="S424" s="472"/>
      <c r="T424" s="472"/>
      <c r="U424" s="472"/>
      <c r="V424" s="472"/>
      <c r="W424" s="472"/>
      <c r="X424" s="472"/>
      <c r="Z424" s="471"/>
      <c r="AA424" s="471"/>
      <c r="AB424" s="471"/>
      <c r="AC424" s="472"/>
      <c r="AD424" s="472"/>
      <c r="AE424" s="472"/>
      <c r="AF424" s="472"/>
      <c r="AG424" s="472"/>
      <c r="AH424" s="472"/>
      <c r="AI424" s="472"/>
      <c r="AJ424" s="472"/>
      <c r="AK424" s="472"/>
      <c r="AL424" s="472"/>
      <c r="AM424" s="472"/>
      <c r="AN424" s="472"/>
      <c r="AO424" s="472"/>
      <c r="AP424" s="472"/>
      <c r="AQ424" s="472"/>
      <c r="AR424" s="472"/>
      <c r="AS424" s="472"/>
      <c r="AT424" s="472"/>
      <c r="AU424" s="472"/>
      <c r="AV424" s="472"/>
      <c r="AW424" s="471"/>
      <c r="AX424" s="471"/>
      <c r="AY424" s="472"/>
      <c r="AZ424" s="472"/>
      <c r="BB424" s="470">
        <f t="shared" si="306"/>
        <v>0</v>
      </c>
      <c r="BC424" s="470">
        <f t="shared" si="307"/>
        <v>0</v>
      </c>
      <c r="BD424" s="444"/>
      <c r="BF424" s="336"/>
    </row>
    <row r="425" spans="2:58" hidden="1" outlineLevel="1" x14ac:dyDescent="0.35">
      <c r="B425" s="329" t="s">
        <v>130</v>
      </c>
      <c r="C425" s="465"/>
      <c r="D425" s="470">
        <f t="shared" si="305"/>
        <v>0</v>
      </c>
      <c r="E425" s="472"/>
      <c r="F425" s="472"/>
      <c r="G425" s="472"/>
      <c r="H425" s="472"/>
      <c r="I425" s="472"/>
      <c r="J425" s="472"/>
      <c r="K425" s="472"/>
      <c r="L425" s="472"/>
      <c r="M425" s="472"/>
      <c r="N425" s="472"/>
      <c r="O425" s="472"/>
      <c r="P425" s="472"/>
      <c r="Q425" s="472"/>
      <c r="R425" s="472"/>
      <c r="S425" s="472"/>
      <c r="T425" s="472"/>
      <c r="U425" s="472"/>
      <c r="V425" s="472"/>
      <c r="W425" s="472"/>
      <c r="X425" s="472"/>
      <c r="Y425" s="472"/>
      <c r="Z425" s="472"/>
      <c r="AA425" s="472"/>
      <c r="AB425" s="472"/>
      <c r="AC425" s="472"/>
      <c r="AD425" s="472"/>
      <c r="AE425" s="472"/>
      <c r="AF425" s="472"/>
      <c r="AG425" s="472"/>
      <c r="AH425" s="472"/>
      <c r="AI425" s="472"/>
      <c r="AJ425" s="472"/>
      <c r="AK425" s="472"/>
      <c r="AL425" s="472"/>
      <c r="AM425" s="472"/>
      <c r="AN425" s="472"/>
      <c r="AO425" s="472"/>
      <c r="AP425" s="472"/>
      <c r="AQ425" s="472"/>
      <c r="AR425" s="472"/>
      <c r="AS425" s="472"/>
      <c r="AT425" s="472"/>
      <c r="AU425" s="472"/>
      <c r="AV425" s="472"/>
      <c r="AW425" s="471"/>
      <c r="AX425" s="471"/>
      <c r="AY425" s="472"/>
      <c r="AZ425" s="472"/>
      <c r="BB425" s="470">
        <f t="shared" si="306"/>
        <v>0</v>
      </c>
      <c r="BC425" s="470">
        <f t="shared" si="307"/>
        <v>0</v>
      </c>
      <c r="BD425" s="444"/>
      <c r="BF425" s="336"/>
    </row>
    <row r="426" spans="2:58" ht="15" hidden="1" outlineLevel="1" thickBot="1" x14ac:dyDescent="0.4">
      <c r="B426" s="329" t="s">
        <v>22</v>
      </c>
      <c r="C426" s="465"/>
      <c r="D426" s="493">
        <f>SUM(D420:D425)</f>
        <v>0</v>
      </c>
      <c r="E426" s="494">
        <f t="shared" ref="E426:BC426" si="308">SUM(E420:E425)</f>
        <v>0</v>
      </c>
      <c r="F426" s="494">
        <f t="shared" si="308"/>
        <v>0</v>
      </c>
      <c r="G426" s="494">
        <f t="shared" si="308"/>
        <v>0</v>
      </c>
      <c r="H426" s="494">
        <f t="shared" si="308"/>
        <v>0</v>
      </c>
      <c r="I426" s="494">
        <f t="shared" si="308"/>
        <v>0</v>
      </c>
      <c r="J426" s="494">
        <f t="shared" si="308"/>
        <v>0</v>
      </c>
      <c r="K426" s="494">
        <f t="shared" si="308"/>
        <v>0</v>
      </c>
      <c r="L426" s="494">
        <f t="shared" si="308"/>
        <v>0</v>
      </c>
      <c r="M426" s="494">
        <f t="shared" si="308"/>
        <v>0</v>
      </c>
      <c r="N426" s="494">
        <f t="shared" si="308"/>
        <v>0</v>
      </c>
      <c r="O426" s="494">
        <f t="shared" si="308"/>
        <v>0</v>
      </c>
      <c r="P426" s="494">
        <f t="shared" si="308"/>
        <v>0</v>
      </c>
      <c r="Q426" s="494">
        <f t="shared" si="308"/>
        <v>0</v>
      </c>
      <c r="R426" s="494">
        <f t="shared" si="308"/>
        <v>0</v>
      </c>
      <c r="S426" s="494">
        <f t="shared" si="308"/>
        <v>0</v>
      </c>
      <c r="T426" s="494">
        <f t="shared" si="308"/>
        <v>0</v>
      </c>
      <c r="U426" s="494">
        <f t="shared" si="308"/>
        <v>0</v>
      </c>
      <c r="V426" s="494">
        <f t="shared" si="308"/>
        <v>0</v>
      </c>
      <c r="W426" s="494">
        <f t="shared" si="308"/>
        <v>0</v>
      </c>
      <c r="X426" s="494">
        <f t="shared" si="308"/>
        <v>0</v>
      </c>
      <c r="Y426" s="494">
        <f t="shared" si="308"/>
        <v>0</v>
      </c>
      <c r="Z426" s="494">
        <f t="shared" si="308"/>
        <v>0</v>
      </c>
      <c r="AA426" s="494">
        <f t="shared" si="308"/>
        <v>0</v>
      </c>
      <c r="AB426" s="494">
        <f t="shared" si="308"/>
        <v>0</v>
      </c>
      <c r="AC426" s="494">
        <f t="shared" si="308"/>
        <v>0</v>
      </c>
      <c r="AD426" s="494">
        <f t="shared" ref="AD426" si="309">SUM(AD420:AD425)</f>
        <v>0</v>
      </c>
      <c r="AE426" s="494">
        <f t="shared" si="308"/>
        <v>0</v>
      </c>
      <c r="AF426" s="494">
        <f t="shared" si="308"/>
        <v>0</v>
      </c>
      <c r="AG426" s="494">
        <f t="shared" si="308"/>
        <v>0</v>
      </c>
      <c r="AH426" s="494">
        <f t="shared" si="308"/>
        <v>0</v>
      </c>
      <c r="AI426" s="494">
        <f t="shared" si="308"/>
        <v>0</v>
      </c>
      <c r="AJ426" s="494"/>
      <c r="AK426" s="494"/>
      <c r="AL426" s="494"/>
      <c r="AM426" s="494"/>
      <c r="AN426" s="494"/>
      <c r="AO426" s="494"/>
      <c r="AP426" s="494">
        <f t="shared" si="308"/>
        <v>0</v>
      </c>
      <c r="AQ426" s="494">
        <f t="shared" si="308"/>
        <v>0</v>
      </c>
      <c r="AR426" s="494">
        <f t="shared" si="308"/>
        <v>0</v>
      </c>
      <c r="AS426" s="494">
        <f t="shared" ref="AS426" si="310">SUM(AS420:AS425)</f>
        <v>0</v>
      </c>
      <c r="AT426" s="494"/>
      <c r="AU426" s="494"/>
      <c r="AV426" s="494"/>
      <c r="AW426" s="519"/>
      <c r="AX426" s="519"/>
      <c r="AY426" s="494"/>
      <c r="AZ426" s="494"/>
      <c r="BB426" s="493">
        <f t="shared" si="308"/>
        <v>0</v>
      </c>
      <c r="BC426" s="493">
        <f t="shared" si="308"/>
        <v>0</v>
      </c>
      <c r="BD426" s="444"/>
      <c r="BF426" s="336"/>
    </row>
    <row r="427" spans="2:58" hidden="1" outlineLevel="1" x14ac:dyDescent="0.35">
      <c r="C427" s="465"/>
      <c r="D427" s="466"/>
      <c r="AS427" s="329"/>
      <c r="BB427" s="466"/>
      <c r="BC427" s="466"/>
      <c r="BD427" s="444"/>
      <c r="BF427" s="336"/>
    </row>
    <row r="428" spans="2:58" hidden="1" outlineLevel="1" x14ac:dyDescent="0.35">
      <c r="B428" s="329" t="s">
        <v>29</v>
      </c>
      <c r="C428" s="465"/>
      <c r="D428" s="496">
        <f>+'Def, COC, ConvF DPK-7 '!C13</f>
        <v>7.3575000000000002E-2</v>
      </c>
      <c r="E428" s="497">
        <f>+'Def, COC, ConvF DPK-7 '!D13</f>
        <v>7.3700000000000002E-2</v>
      </c>
      <c r="F428" s="497">
        <f>+'Def, COC, ConvF DPK-7 '!D13</f>
        <v>7.3700000000000002E-2</v>
      </c>
      <c r="G428" s="497">
        <f>+'Def, COC, ConvF DPK-7 '!D13</f>
        <v>7.3700000000000002E-2</v>
      </c>
      <c r="H428" s="497">
        <f>+'Def, COC, ConvF DPK-7 '!D13</f>
        <v>7.3700000000000002E-2</v>
      </c>
      <c r="I428" s="497">
        <f>+'Def, COC, ConvF DPK-7 '!D13</f>
        <v>7.3700000000000002E-2</v>
      </c>
      <c r="J428" s="497">
        <f>+'Def, COC, ConvF DPK-7 '!D13</f>
        <v>7.3700000000000002E-2</v>
      </c>
      <c r="K428" s="497">
        <f>+'Def, COC, ConvF DPK-7 '!D13</f>
        <v>7.3700000000000002E-2</v>
      </c>
      <c r="L428" s="497">
        <f>+'Def, COC, ConvF DPK-7 '!D13</f>
        <v>7.3700000000000002E-2</v>
      </c>
      <c r="M428" s="497">
        <f>+'Def, COC, ConvF DPK-7 '!D13</f>
        <v>7.3700000000000002E-2</v>
      </c>
      <c r="N428" s="497">
        <f>+'Def, COC, ConvF DPK-7 '!D13</f>
        <v>7.3700000000000002E-2</v>
      </c>
      <c r="O428" s="497">
        <f>+'Def, COC, ConvF DPK-7 '!D13</f>
        <v>7.3700000000000002E-2</v>
      </c>
      <c r="P428" s="497">
        <f>+'Def, COC, ConvF DPK-7 '!D13</f>
        <v>7.3700000000000002E-2</v>
      </c>
      <c r="Q428" s="497">
        <f>+'Def, COC, ConvF DPK-7 '!D13</f>
        <v>7.3700000000000002E-2</v>
      </c>
      <c r="R428" s="497">
        <f>+'Def, COC, ConvF DPK-7 '!D13</f>
        <v>7.3700000000000002E-2</v>
      </c>
      <c r="S428" s="497">
        <f>+'Def, COC, ConvF DPK-7 '!D13</f>
        <v>7.3700000000000002E-2</v>
      </c>
      <c r="T428" s="497">
        <f>+'Def, COC, ConvF DPK-7 '!D13</f>
        <v>7.3700000000000002E-2</v>
      </c>
      <c r="U428" s="497">
        <f>+'Def, COC, ConvF DPK-7 '!D13</f>
        <v>7.3700000000000002E-2</v>
      </c>
      <c r="V428" s="497">
        <f>+'Def, COC, ConvF DPK-7 '!D13</f>
        <v>7.3700000000000002E-2</v>
      </c>
      <c r="W428" s="497">
        <f>+'Def, COC, ConvF DPK-7 '!D13</f>
        <v>7.3700000000000002E-2</v>
      </c>
      <c r="X428" s="497">
        <f>+'Def, COC, ConvF DPK-7 '!D13</f>
        <v>7.3700000000000002E-2</v>
      </c>
      <c r="Y428" s="497">
        <f>+'Def, COC, ConvF DPK-7 '!D13</f>
        <v>7.3700000000000002E-2</v>
      </c>
      <c r="Z428" s="497">
        <f>+'Def, COC, ConvF DPK-7 '!D13</f>
        <v>7.3700000000000002E-2</v>
      </c>
      <c r="AA428" s="497">
        <f>+'Def, COC, ConvF DPK-7 '!D13</f>
        <v>7.3700000000000002E-2</v>
      </c>
      <c r="AB428" s="497">
        <f>+'Def, COC, ConvF DPK-7 '!D13</f>
        <v>7.3700000000000002E-2</v>
      </c>
      <c r="AC428" s="497">
        <f>+'Def, COC, ConvF DPK-7 '!D13</f>
        <v>7.3700000000000002E-2</v>
      </c>
      <c r="AD428" s="497">
        <f>+'Def, COC, ConvF DPK-7 '!D13</f>
        <v>7.3700000000000002E-2</v>
      </c>
      <c r="AE428" s="497">
        <f>+'Def, COC, ConvF DPK-7 '!D13</f>
        <v>7.3700000000000002E-2</v>
      </c>
      <c r="AF428" s="497">
        <f>+'Def, COC, ConvF DPK-7 '!D13</f>
        <v>7.3700000000000002E-2</v>
      </c>
      <c r="AG428" s="497">
        <f>+'Def, COC, ConvF DPK-7 '!D13</f>
        <v>7.3700000000000002E-2</v>
      </c>
      <c r="AH428" s="497">
        <f>+'Def, COC, ConvF DPK-7 '!D13</f>
        <v>7.3700000000000002E-2</v>
      </c>
      <c r="AI428" s="497">
        <f>+'Def, COC, ConvF DPK-7 '!D13</f>
        <v>7.3700000000000002E-2</v>
      </c>
      <c r="AJ428" s="497"/>
      <c r="AK428" s="497"/>
      <c r="AL428" s="497"/>
      <c r="AM428" s="497"/>
      <c r="AN428" s="497"/>
      <c r="AO428" s="497"/>
      <c r="AP428" s="497">
        <f>+'Def, COC, ConvF DPK-7 '!D13</f>
        <v>7.3700000000000002E-2</v>
      </c>
      <c r="AQ428" s="497">
        <f>+'Def, COC, ConvF DPK-7 '!D13</f>
        <v>7.3700000000000002E-2</v>
      </c>
      <c r="AR428" s="497">
        <f>+'Def, COC, ConvF DPK-7 '!D13</f>
        <v>7.3700000000000002E-2</v>
      </c>
      <c r="AS428" s="497" t="str">
        <f>+'Def, COC, ConvF DPK-7 '!M13</f>
        <v>ANNUAL FILING FEE</v>
      </c>
      <c r="AT428" s="497"/>
      <c r="AU428" s="497"/>
      <c r="AV428" s="497"/>
      <c r="AW428" s="497"/>
      <c r="AX428" s="497"/>
      <c r="AY428" s="497"/>
      <c r="AZ428" s="497"/>
      <c r="BB428" s="496">
        <f>+'Def, COC, ConvF DPK-7 '!C13</f>
        <v>7.3575000000000002E-2</v>
      </c>
      <c r="BC428" s="496">
        <f>+'Def, COC, ConvF DPK-7 '!C13</f>
        <v>7.3575000000000002E-2</v>
      </c>
      <c r="BD428" s="444"/>
      <c r="BF428" s="336"/>
    </row>
    <row r="429" spans="2:58" hidden="1" outlineLevel="1" x14ac:dyDescent="0.35">
      <c r="B429" s="329" t="s">
        <v>23</v>
      </c>
      <c r="C429" s="465"/>
      <c r="D429" s="466">
        <f>+'Def, COC, ConvF DPK-7 '!P20</f>
        <v>0.75421300000000002</v>
      </c>
      <c r="E429" s="329">
        <f>+'Def, COC, ConvF DPK-7 '!P20</f>
        <v>0.75421300000000002</v>
      </c>
      <c r="F429" s="329">
        <f>+'Def, COC, ConvF DPK-7 '!P20</f>
        <v>0.75421300000000002</v>
      </c>
      <c r="G429" s="329">
        <f>+'Def, COC, ConvF DPK-7 '!P20</f>
        <v>0.75421300000000002</v>
      </c>
      <c r="H429" s="329">
        <f>+'Def, COC, ConvF DPK-7 '!P20</f>
        <v>0.75421300000000002</v>
      </c>
      <c r="I429" s="329">
        <f>+'Def, COC, ConvF DPK-7 '!P20</f>
        <v>0.75421300000000002</v>
      </c>
      <c r="J429" s="329">
        <f>+'Def, COC, ConvF DPK-7 '!P20</f>
        <v>0.75421300000000002</v>
      </c>
      <c r="K429" s="329">
        <f>+'Def, COC, ConvF DPK-7 '!P20</f>
        <v>0.75421300000000002</v>
      </c>
      <c r="L429" s="329">
        <f>+'Def, COC, ConvF DPK-7 '!P20</f>
        <v>0.75421300000000002</v>
      </c>
      <c r="M429" s="329">
        <f>+'Def, COC, ConvF DPK-7 '!P20</f>
        <v>0.75421300000000002</v>
      </c>
      <c r="N429" s="329">
        <f>+'Def, COC, ConvF DPK-7 '!P20</f>
        <v>0.75421300000000002</v>
      </c>
      <c r="O429" s="329">
        <f>+'Def, COC, ConvF DPK-7 '!P20</f>
        <v>0.75421300000000002</v>
      </c>
      <c r="P429" s="329">
        <f>+'Def, COC, ConvF DPK-7 '!P20</f>
        <v>0.75421300000000002</v>
      </c>
      <c r="Q429" s="329">
        <f>+'Def, COC, ConvF DPK-7 '!P20</f>
        <v>0.75421300000000002</v>
      </c>
      <c r="R429" s="329">
        <f>+'Def, COC, ConvF DPK-7 '!P20</f>
        <v>0.75421300000000002</v>
      </c>
      <c r="S429" s="329">
        <f>+'Def, COC, ConvF DPK-7 '!P20</f>
        <v>0.75421300000000002</v>
      </c>
      <c r="T429" s="329">
        <f>+'Def, COC, ConvF DPK-7 '!P20</f>
        <v>0.75421300000000002</v>
      </c>
      <c r="U429" s="329">
        <f>+'Def, COC, ConvF DPK-7 '!P20</f>
        <v>0.75421300000000002</v>
      </c>
      <c r="V429" s="329">
        <f>+'Def, COC, ConvF DPK-7 '!P20</f>
        <v>0.75421300000000002</v>
      </c>
      <c r="W429" s="329">
        <f>+'Def, COC, ConvF DPK-7 '!P20</f>
        <v>0.75421300000000002</v>
      </c>
      <c r="X429" s="329">
        <f>+'Def, COC, ConvF DPK-7 '!P20</f>
        <v>0.75421300000000002</v>
      </c>
      <c r="Y429" s="329">
        <f>+'Def, COC, ConvF DPK-7 '!P20</f>
        <v>0.75421300000000002</v>
      </c>
      <c r="Z429" s="329">
        <f>+'Def, COC, ConvF DPK-7 '!P20</f>
        <v>0.75421300000000002</v>
      </c>
      <c r="AA429" s="329">
        <f>+'Def, COC, ConvF DPK-7 '!P20</f>
        <v>0.75421300000000002</v>
      </c>
      <c r="AB429" s="329">
        <f>+'Def, COC, ConvF DPK-7 '!P20</f>
        <v>0.75421300000000002</v>
      </c>
      <c r="AC429" s="329">
        <f>+'Def, COC, ConvF DPK-7 '!P20</f>
        <v>0.75421300000000002</v>
      </c>
      <c r="AD429" s="329">
        <f>+'Def, COC, ConvF DPK-7 '!P20</f>
        <v>0.75421300000000002</v>
      </c>
      <c r="AE429" s="329">
        <f>+'Def, COC, ConvF DPK-7 '!P20</f>
        <v>0.75421300000000002</v>
      </c>
      <c r="AF429" s="329">
        <f>+'Def, COC, ConvF DPK-7 '!P20</f>
        <v>0.75421300000000002</v>
      </c>
      <c r="AG429" s="329">
        <f>+'Def, COC, ConvF DPK-7 '!P20</f>
        <v>0.75421300000000002</v>
      </c>
      <c r="AH429" s="329">
        <f>+'Def, COC, ConvF DPK-7 '!P20</f>
        <v>0.75421300000000002</v>
      </c>
      <c r="AI429" s="329">
        <f>+'Def, COC, ConvF DPK-7 '!P20</f>
        <v>0.75421300000000002</v>
      </c>
      <c r="AP429" s="329">
        <f>+'Def, COC, ConvF DPK-7 '!P20</f>
        <v>0.75421300000000002</v>
      </c>
      <c r="AQ429" s="329">
        <f>+'Def, COC, ConvF DPK-7 '!P20</f>
        <v>0.75421300000000002</v>
      </c>
      <c r="AR429" s="329">
        <f>+'Def, COC, ConvF DPK-7 '!P20</f>
        <v>0.75421300000000002</v>
      </c>
      <c r="AS429" s="329">
        <f>+'Def, COC, ConvF DPK-7 '!Y20</f>
        <v>0</v>
      </c>
      <c r="BB429" s="466">
        <f>+'Def, COC, ConvF DPK-7 '!P20</f>
        <v>0.75421300000000002</v>
      </c>
      <c r="BC429" s="466">
        <f>+'Def, COC, ConvF DPK-7 '!P20</f>
        <v>0.75421300000000002</v>
      </c>
      <c r="BD429" s="444"/>
      <c r="BF429" s="336"/>
    </row>
    <row r="430" spans="2:58" hidden="1" outlineLevel="1" x14ac:dyDescent="0.35">
      <c r="B430" s="329" t="s">
        <v>186</v>
      </c>
      <c r="C430" s="465"/>
      <c r="D430" s="470">
        <f>+D413-(D426*D428)</f>
        <v>0</v>
      </c>
      <c r="E430" s="265">
        <f t="shared" ref="E430:AR430" si="311">+E413-(E426*E428)</f>
        <v>0</v>
      </c>
      <c r="F430" s="265">
        <f t="shared" si="311"/>
        <v>0</v>
      </c>
      <c r="G430" s="265">
        <f t="shared" si="311"/>
        <v>0</v>
      </c>
      <c r="H430" s="265">
        <f t="shared" si="311"/>
        <v>0</v>
      </c>
      <c r="I430" s="265">
        <f t="shared" si="311"/>
        <v>0</v>
      </c>
      <c r="J430" s="265">
        <f t="shared" si="311"/>
        <v>0</v>
      </c>
      <c r="K430" s="265">
        <f t="shared" si="311"/>
        <v>0</v>
      </c>
      <c r="L430" s="265">
        <f t="shared" si="311"/>
        <v>0</v>
      </c>
      <c r="M430" s="265">
        <f t="shared" si="311"/>
        <v>0</v>
      </c>
      <c r="N430" s="265">
        <f t="shared" si="311"/>
        <v>0</v>
      </c>
      <c r="O430" s="265">
        <f t="shared" si="311"/>
        <v>0</v>
      </c>
      <c r="P430" s="265">
        <f t="shared" si="311"/>
        <v>0</v>
      </c>
      <c r="Q430" s="265">
        <f t="shared" si="311"/>
        <v>0</v>
      </c>
      <c r="R430" s="265">
        <f t="shared" si="311"/>
        <v>0</v>
      </c>
      <c r="S430" s="265">
        <f t="shared" si="311"/>
        <v>0</v>
      </c>
      <c r="T430" s="265">
        <f t="shared" si="311"/>
        <v>0</v>
      </c>
      <c r="U430" s="265">
        <f t="shared" si="311"/>
        <v>0</v>
      </c>
      <c r="V430" s="265">
        <f t="shared" si="311"/>
        <v>0</v>
      </c>
      <c r="W430" s="265">
        <f t="shared" si="311"/>
        <v>0</v>
      </c>
      <c r="X430" s="265">
        <f t="shared" si="311"/>
        <v>0</v>
      </c>
      <c r="Y430" s="265">
        <f t="shared" si="311"/>
        <v>0</v>
      </c>
      <c r="Z430" s="525">
        <f t="shared" si="311"/>
        <v>0</v>
      </c>
      <c r="AA430" s="265">
        <f t="shared" si="311"/>
        <v>0</v>
      </c>
      <c r="AB430" s="265">
        <f t="shared" si="311"/>
        <v>0</v>
      </c>
      <c r="AC430" s="265">
        <f t="shared" si="311"/>
        <v>0</v>
      </c>
      <c r="AD430" s="265">
        <f t="shared" ref="AD430" si="312">+AD413-(AD426*AD428)</f>
        <v>0</v>
      </c>
      <c r="AE430" s="265">
        <f t="shared" si="311"/>
        <v>0</v>
      </c>
      <c r="AF430" s="265">
        <f t="shared" si="311"/>
        <v>0</v>
      </c>
      <c r="AG430" s="265">
        <f t="shared" si="311"/>
        <v>0</v>
      </c>
      <c r="AH430" s="265">
        <f t="shared" si="311"/>
        <v>0</v>
      </c>
      <c r="AI430" s="525">
        <f t="shared" si="311"/>
        <v>0</v>
      </c>
      <c r="AJ430" s="525"/>
      <c r="AK430" s="525"/>
      <c r="AL430" s="525"/>
      <c r="AM430" s="525"/>
      <c r="AN430" s="525"/>
      <c r="AO430" s="525"/>
      <c r="AP430" s="265">
        <f t="shared" si="311"/>
        <v>0</v>
      </c>
      <c r="AQ430" s="265">
        <f t="shared" si="311"/>
        <v>0</v>
      </c>
      <c r="AR430" s="265">
        <f t="shared" si="311"/>
        <v>0</v>
      </c>
      <c r="AS430" s="265" t="e">
        <f t="shared" ref="AS430" si="313">+AS413-(AS426*AS428)</f>
        <v>#VALUE!</v>
      </c>
      <c r="AT430" s="265"/>
      <c r="AU430" s="265"/>
      <c r="AV430" s="265"/>
      <c r="AW430" s="265"/>
      <c r="AX430" s="265"/>
      <c r="AY430" s="265"/>
      <c r="AZ430" s="265"/>
      <c r="BB430" s="470" t="e">
        <f>SUM(E430:AZ430)</f>
        <v>#VALUE!</v>
      </c>
      <c r="BC430" s="470">
        <f>+BC413-(BC426*BC428)</f>
        <v>0</v>
      </c>
      <c r="BD430" s="444"/>
      <c r="BF430" s="336"/>
    </row>
    <row r="431" spans="2:58" hidden="1" outlineLevel="1" x14ac:dyDescent="0.35">
      <c r="B431" s="329" t="s">
        <v>187</v>
      </c>
      <c r="C431" s="465"/>
      <c r="D431" s="470">
        <f t="shared" ref="D431:BC431" si="314">-D430/D429</f>
        <v>0</v>
      </c>
      <c r="E431" s="265">
        <f t="shared" si="314"/>
        <v>0</v>
      </c>
      <c r="F431" s="265">
        <f t="shared" si="314"/>
        <v>0</v>
      </c>
      <c r="G431" s="265">
        <f t="shared" si="314"/>
        <v>0</v>
      </c>
      <c r="H431" s="265">
        <f t="shared" si="314"/>
        <v>0</v>
      </c>
      <c r="I431" s="265">
        <f t="shared" si="314"/>
        <v>0</v>
      </c>
      <c r="J431" s="265">
        <f t="shared" si="314"/>
        <v>0</v>
      </c>
      <c r="K431" s="265">
        <f t="shared" si="314"/>
        <v>0</v>
      </c>
      <c r="L431" s="265">
        <f t="shared" si="314"/>
        <v>0</v>
      </c>
      <c r="M431" s="265">
        <f t="shared" si="314"/>
        <v>0</v>
      </c>
      <c r="N431" s="265">
        <f t="shared" si="314"/>
        <v>0</v>
      </c>
      <c r="O431" s="265">
        <f t="shared" si="314"/>
        <v>0</v>
      </c>
      <c r="P431" s="265">
        <f t="shared" si="314"/>
        <v>0</v>
      </c>
      <c r="Q431" s="265">
        <f t="shared" si="314"/>
        <v>0</v>
      </c>
      <c r="R431" s="265">
        <f t="shared" si="314"/>
        <v>0</v>
      </c>
      <c r="S431" s="265">
        <f t="shared" si="314"/>
        <v>0</v>
      </c>
      <c r="T431" s="265">
        <f t="shared" si="314"/>
        <v>0</v>
      </c>
      <c r="U431" s="265">
        <f t="shared" si="314"/>
        <v>0</v>
      </c>
      <c r="V431" s="265">
        <f t="shared" si="314"/>
        <v>0</v>
      </c>
      <c r="W431" s="265">
        <f t="shared" si="314"/>
        <v>0</v>
      </c>
      <c r="X431" s="265">
        <f t="shared" si="314"/>
        <v>0</v>
      </c>
      <c r="Y431" s="265">
        <f t="shared" si="314"/>
        <v>0</v>
      </c>
      <c r="Z431" s="525">
        <f t="shared" si="314"/>
        <v>0</v>
      </c>
      <c r="AA431" s="265">
        <f t="shared" si="314"/>
        <v>0</v>
      </c>
      <c r="AB431" s="265">
        <f t="shared" si="314"/>
        <v>0</v>
      </c>
      <c r="AC431" s="265">
        <f t="shared" si="314"/>
        <v>0</v>
      </c>
      <c r="AD431" s="265">
        <f t="shared" ref="AD431" si="315">-AD430/AD429</f>
        <v>0</v>
      </c>
      <c r="AE431" s="265">
        <f t="shared" si="314"/>
        <v>0</v>
      </c>
      <c r="AF431" s="265">
        <f t="shared" si="314"/>
        <v>0</v>
      </c>
      <c r="AG431" s="265">
        <f t="shared" si="314"/>
        <v>0</v>
      </c>
      <c r="AH431" s="265">
        <f t="shared" si="314"/>
        <v>0</v>
      </c>
      <c r="AI431" s="525">
        <f t="shared" si="314"/>
        <v>0</v>
      </c>
      <c r="AJ431" s="525"/>
      <c r="AK431" s="525"/>
      <c r="AL431" s="525"/>
      <c r="AM431" s="525"/>
      <c r="AN431" s="525"/>
      <c r="AO431" s="525"/>
      <c r="AP431" s="265">
        <f t="shared" si="314"/>
        <v>0</v>
      </c>
      <c r="AQ431" s="265">
        <f t="shared" si="314"/>
        <v>0</v>
      </c>
      <c r="AR431" s="265">
        <f t="shared" si="314"/>
        <v>0</v>
      </c>
      <c r="AS431" s="265" t="e">
        <f t="shared" ref="AS431" si="316">-AS430/AS429</f>
        <v>#VALUE!</v>
      </c>
      <c r="AT431" s="265"/>
      <c r="AU431" s="265"/>
      <c r="AV431" s="265"/>
      <c r="AW431" s="265"/>
      <c r="AX431" s="265"/>
      <c r="AY431" s="265"/>
      <c r="AZ431" s="265"/>
      <c r="BB431" s="470" t="e">
        <f t="shared" si="314"/>
        <v>#VALUE!</v>
      </c>
      <c r="BC431" s="470">
        <f t="shared" si="314"/>
        <v>0</v>
      </c>
      <c r="BD431" s="444"/>
      <c r="BF431" s="336"/>
    </row>
    <row r="432" spans="2:58" hidden="1" outlineLevel="1" x14ac:dyDescent="0.35">
      <c r="B432" s="329" t="s">
        <v>42</v>
      </c>
      <c r="C432" s="465"/>
      <c r="D432" s="470"/>
      <c r="E432" s="265"/>
      <c r="F432" s="265"/>
      <c r="G432" s="265"/>
      <c r="H432" s="265"/>
      <c r="I432" s="265"/>
      <c r="J432" s="265"/>
      <c r="K432" s="265"/>
      <c r="L432" s="265"/>
      <c r="M432" s="265"/>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5"/>
      <c r="AI432" s="525"/>
      <c r="AJ432" s="525"/>
      <c r="AK432" s="525"/>
      <c r="AL432" s="525"/>
      <c r="AM432" s="525"/>
      <c r="AN432" s="525"/>
      <c r="AO432" s="525"/>
      <c r="AP432" s="265"/>
      <c r="AQ432" s="265"/>
      <c r="AR432" s="265"/>
      <c r="AS432" s="265"/>
      <c r="AT432" s="265"/>
      <c r="AU432" s="265"/>
      <c r="AV432" s="265"/>
      <c r="AW432" s="265"/>
      <c r="AX432" s="265"/>
      <c r="AY432" s="265"/>
      <c r="AZ432" s="265"/>
      <c r="BB432" s="470"/>
      <c r="BC432" s="470">
        <f>+BC371</f>
        <v>0</v>
      </c>
      <c r="BD432" s="444"/>
      <c r="BF432" s="336"/>
    </row>
    <row r="433" spans="2:58" hidden="1" outlineLevel="1" x14ac:dyDescent="0.35">
      <c r="B433" s="329" t="s">
        <v>43</v>
      </c>
      <c r="C433" s="465"/>
      <c r="D433" s="470"/>
      <c r="E433" s="265"/>
      <c r="F433" s="265"/>
      <c r="G433" s="265"/>
      <c r="H433" s="265"/>
      <c r="I433" s="265"/>
      <c r="J433" s="265"/>
      <c r="K433" s="265"/>
      <c r="L433" s="265"/>
      <c r="M433" s="265"/>
      <c r="N433" s="265"/>
      <c r="O433" s="265"/>
      <c r="P433" s="265"/>
      <c r="Q433" s="265"/>
      <c r="R433" s="265"/>
      <c r="S433" s="265"/>
      <c r="T433" s="265"/>
      <c r="U433" s="265"/>
      <c r="V433" s="265"/>
      <c r="W433" s="265"/>
      <c r="X433" s="265"/>
      <c r="Y433" s="265"/>
      <c r="Z433" s="265"/>
      <c r="AA433" s="265"/>
      <c r="AB433" s="265"/>
      <c r="AC433" s="265"/>
      <c r="AD433" s="265"/>
      <c r="AE433" s="265"/>
      <c r="AF433" s="265"/>
      <c r="AG433" s="265"/>
      <c r="AH433" s="265"/>
      <c r="AI433" s="265"/>
      <c r="AJ433" s="265"/>
      <c r="AK433" s="265"/>
      <c r="AL433" s="265"/>
      <c r="AM433" s="265"/>
      <c r="AN433" s="265"/>
      <c r="AO433" s="265"/>
      <c r="AP433" s="265"/>
      <c r="AQ433" s="265"/>
      <c r="AR433" s="265"/>
      <c r="AS433" s="265"/>
      <c r="AT433" s="265"/>
      <c r="AU433" s="265"/>
      <c r="AV433" s="265"/>
      <c r="AW433" s="265"/>
      <c r="AX433" s="265"/>
      <c r="AY433" s="265"/>
      <c r="AZ433" s="265"/>
      <c r="BB433" s="470"/>
      <c r="BC433" s="521">
        <f>SUM(BC431:BC432)</f>
        <v>0</v>
      </c>
      <c r="BD433" s="444"/>
      <c r="BF433" s="336"/>
    </row>
    <row r="434" spans="2:58" hidden="1" outlineLevel="1" x14ac:dyDescent="0.35">
      <c r="C434" s="465"/>
      <c r="D434" s="498"/>
      <c r="E434" s="265"/>
      <c r="F434" s="265"/>
      <c r="G434" s="265"/>
      <c r="H434" s="265"/>
      <c r="I434" s="265"/>
      <c r="J434" s="265"/>
      <c r="K434" s="265"/>
      <c r="L434" s="265"/>
      <c r="M434" s="265"/>
      <c r="N434" s="265"/>
      <c r="O434" s="265"/>
      <c r="P434" s="265"/>
      <c r="Q434" s="265"/>
      <c r="R434" s="265"/>
      <c r="S434" s="265"/>
      <c r="T434" s="265"/>
      <c r="U434" s="265"/>
      <c r="V434" s="265"/>
      <c r="W434" s="265"/>
      <c r="X434" s="265"/>
      <c r="Y434" s="265"/>
      <c r="Z434" s="265"/>
      <c r="AA434" s="265"/>
      <c r="AB434" s="265"/>
      <c r="AC434" s="265"/>
      <c r="AD434" s="265"/>
      <c r="AE434" s="265"/>
      <c r="AF434" s="265"/>
      <c r="AG434" s="265"/>
      <c r="AH434" s="265"/>
      <c r="AI434" s="265"/>
      <c r="AJ434" s="265"/>
      <c r="AK434" s="265"/>
      <c r="AL434" s="265"/>
      <c r="AM434" s="265"/>
      <c r="AN434" s="265"/>
      <c r="AO434" s="265"/>
      <c r="AP434" s="265"/>
      <c r="AQ434" s="265"/>
      <c r="AR434" s="265"/>
      <c r="AS434" s="265"/>
      <c r="AT434" s="265"/>
      <c r="AU434" s="265"/>
      <c r="AV434" s="265"/>
      <c r="AW434" s="265"/>
      <c r="AX434" s="265"/>
      <c r="AY434" s="265"/>
      <c r="AZ434" s="265"/>
      <c r="BB434" s="498"/>
      <c r="BC434" s="498"/>
      <c r="BD434" s="444"/>
      <c r="BF434" s="336"/>
    </row>
    <row r="435" spans="2:58" hidden="1" outlineLevel="1" x14ac:dyDescent="0.35">
      <c r="C435" s="465"/>
      <c r="AS435" s="329"/>
      <c r="BB435" s="497">
        <f>+'Def, COC, ConvF DPK-7 '!K27</f>
        <v>7.3575000000000002E-2</v>
      </c>
      <c r="BC435" s="497">
        <f>+'Def, COC, ConvF DPK-7 '!K27</f>
        <v>7.3575000000000002E-2</v>
      </c>
      <c r="BD435" s="444"/>
      <c r="BF435" s="336"/>
    </row>
    <row r="436" spans="2:58" hidden="1" outlineLevel="1" x14ac:dyDescent="0.35">
      <c r="B436" s="499" t="s">
        <v>939</v>
      </c>
      <c r="C436" s="465"/>
      <c r="D436" s="513"/>
      <c r="E436" s="551">
        <f>ROUND('Common Adj'!Q$71-E413,0)+E415</f>
        <v>0</v>
      </c>
      <c r="F436" s="551">
        <f>ROUND('Common Adj'!AI$65-F413,0)+F415</f>
        <v>0</v>
      </c>
      <c r="G436" s="551">
        <f>ROUND('Common Adj'!BA$30-G413,0)+G415</f>
        <v>0</v>
      </c>
      <c r="H436" s="551">
        <f>ROUND('Common Adj'!BS$22-H413,0)+ROUND('Common Adj'!BS$24-H415,0)</f>
        <v>0</v>
      </c>
      <c r="I436" s="551">
        <f>ROUND('Common Adj'!CK$24-I413,0)+I415</f>
        <v>0</v>
      </c>
      <c r="J436" s="551">
        <f>ROUND('Common Adj'!DC$20-J413,0)+J415</f>
        <v>0</v>
      </c>
      <c r="K436" s="551">
        <f>ROUND('Common Adj'!DU$22-K413,0)+K415</f>
        <v>0</v>
      </c>
      <c r="L436" s="551">
        <f>ROUND('Common Adj'!EM$21-L413,0)+L415</f>
        <v>0</v>
      </c>
      <c r="M436" s="551">
        <f>ROUND('Common Adj'!FE$27-M413,0)+M415</f>
        <v>0</v>
      </c>
      <c r="N436" s="551">
        <f>ROUND('Common Adj'!FW$23-N413,0)+N415</f>
        <v>0</v>
      </c>
      <c r="O436" s="551">
        <f>ROUND('Common Adj'!GO$32-O413,0)+O415</f>
        <v>0</v>
      </c>
      <c r="P436" s="551">
        <f>ROUND('Common Adj'!HG$36-P413,0)+P415</f>
        <v>0</v>
      </c>
      <c r="Q436" s="551">
        <f>ROUND('Common Adj'!HY$18-Q413,0)+Q415</f>
        <v>0</v>
      </c>
      <c r="R436" s="551">
        <f>ROUND('Common Adj'!IQ$21-R413,0)+R415</f>
        <v>0</v>
      </c>
      <c r="S436" s="551">
        <f>ROUND('Common Adj'!JI$22-S413,0)+S415</f>
        <v>0</v>
      </c>
      <c r="T436" s="551">
        <f>ROUND('Common Adj'!KA$23-T413,0)+T415</f>
        <v>0</v>
      </c>
      <c r="U436" s="551">
        <f>ROUND('Common Adj'!KS$20-U413,0)+U415</f>
        <v>0</v>
      </c>
      <c r="V436" s="551">
        <f>ROUND('Common Adj'!LK$33-V413,0)+V415</f>
        <v>0</v>
      </c>
      <c r="W436" s="551">
        <f>ROUND('Common Adj'!MC$22-W415,0)+W413</f>
        <v>0</v>
      </c>
      <c r="X436" s="551">
        <f>ROUND('Common Adj'!MU$31-X413,0)+ROUND('Common Adj'!MU$36-X415,0)</f>
        <v>0</v>
      </c>
      <c r="Y436" s="551">
        <f>ROUND('Common Adj'!NM$22-Y413,0)+Y415</f>
        <v>0</v>
      </c>
      <c r="Z436" s="551">
        <f>ROUND('Common Adj'!OE$31-Z413,0)+Z415</f>
        <v>0</v>
      </c>
      <c r="AA436" s="551">
        <f>ROUND('Common Adj'!OW$40-AA413,0)+ROUND('Common Adj'!OW$29-AA415,0)</f>
        <v>0</v>
      </c>
      <c r="AB436" s="551">
        <f>ROUND('Common Adj'!PO$46-AB413,0)+ROUND('Common Adj'!PO$35-AB415,0)</f>
        <v>0</v>
      </c>
      <c r="AC436" s="551" t="e">
        <f>ROUND('Common Adj'!#REF!-AC413,0)+AC415</f>
        <v>#REF!</v>
      </c>
      <c r="AD436" s="551">
        <f>ROUND('Common Adj'!QZ19-AD415,0)</f>
        <v>0</v>
      </c>
      <c r="AE436" s="551">
        <f>ROUND('Common Adj'!TB$26-AE413,0)+ROUND('Common Adj'!TB$31-AE415,0)</f>
        <v>0</v>
      </c>
      <c r="AF436" s="551">
        <f>ROUND('Common Adj'!TB$44-AF413,0)+ROUND('Common Adj'!TB$49-AF415,0)</f>
        <v>0</v>
      </c>
      <c r="AG436" s="551">
        <f>ROUND('Common Adj'!TB$62-AG413,0)+ROUND('Common Adj'!TB$67-AG415,0)</f>
        <v>0</v>
      </c>
      <c r="AH436" s="551">
        <f>ROUND('Common Adj'!TB$80-AH413,0)+ROUND('Common Adj'!TB$85-AH415,0)</f>
        <v>0</v>
      </c>
      <c r="AI436" s="551">
        <f>ROUND('Common Adj'!TB$98-AI413,0)+ROUND('Common Adj'!TB$103-AI415,0)</f>
        <v>0</v>
      </c>
      <c r="AJ436" s="551"/>
      <c r="AK436" s="551"/>
      <c r="AL436" s="551"/>
      <c r="AM436" s="551"/>
      <c r="AN436" s="551"/>
      <c r="AO436" s="551"/>
      <c r="AP436" s="551">
        <f>ROUND('Gas Adj'!BS$44-AP415,0)+ROUND('Gas Adj'!BS$33-AP413,0)</f>
        <v>0</v>
      </c>
      <c r="AQ436" s="551">
        <f>ROUND('Gas Adj'!CK$47-AQ413,0)+ROUND('Gas Adj'!CK$27-AQ415,0)</f>
        <v>0</v>
      </c>
      <c r="AR436" s="551">
        <f>ROUND('Gas Adj'!BS$44-BW33,0)+AR415</f>
        <v>0</v>
      </c>
      <c r="AS436" s="551">
        <f>ROUND('Gas Adj'!CB$44-CF33,0)+AS415</f>
        <v>13014655</v>
      </c>
      <c r="AT436" s="551"/>
      <c r="AU436" s="551"/>
      <c r="AV436" s="551"/>
      <c r="AW436" s="551"/>
      <c r="AX436" s="551"/>
      <c r="AY436" s="551"/>
      <c r="AZ436" s="551"/>
      <c r="BB436" s="501"/>
      <c r="BC436" s="501"/>
      <c r="BD436" s="444"/>
      <c r="BF436" s="336"/>
    </row>
    <row r="437" spans="2:58" hidden="1" outlineLevel="1" x14ac:dyDescent="0.35">
      <c r="B437" s="499" t="s">
        <v>953</v>
      </c>
      <c r="C437" s="465"/>
      <c r="D437" s="551">
        <f>'Summary DPK-7 '!O47-D413</f>
        <v>0</v>
      </c>
      <c r="AS437" s="329"/>
      <c r="BC437" s="551">
        <f>'Summary DPK-7 '!Q47-BC413</f>
        <v>0</v>
      </c>
      <c r="BD437" s="444"/>
      <c r="BF437" s="336"/>
    </row>
    <row r="438" spans="2:58" hidden="1" outlineLevel="1" x14ac:dyDescent="0.35">
      <c r="B438" s="499" t="s">
        <v>954</v>
      </c>
      <c r="C438" s="465"/>
      <c r="D438" s="551">
        <f>'Summary DPK-7 '!O58-D426</f>
        <v>0</v>
      </c>
      <c r="AS438" s="329"/>
      <c r="BC438" s="551">
        <f>'Summary DPK-7 '!Q58-BC426</f>
        <v>0</v>
      </c>
      <c r="BD438" s="444"/>
      <c r="BF438" s="336"/>
    </row>
    <row r="439" spans="2:58" hidden="1" outlineLevel="1" x14ac:dyDescent="0.35">
      <c r="B439" s="411"/>
      <c r="C439" s="516"/>
      <c r="D439" s="502"/>
      <c r="AS439" s="329"/>
      <c r="BC439" s="502"/>
      <c r="BD439" s="444"/>
      <c r="BF439" s="336"/>
    </row>
    <row r="440" spans="2:58" hidden="1" outlineLevel="1" x14ac:dyDescent="0.35">
      <c r="B440" s="411"/>
      <c r="C440" s="516"/>
      <c r="D440" s="502"/>
      <c r="AS440" s="329"/>
      <c r="BC440" s="502"/>
      <c r="BD440" s="444"/>
      <c r="BF440" s="336"/>
    </row>
    <row r="441" spans="2:58" collapsed="1" x14ac:dyDescent="0.35">
      <c r="B441" s="411"/>
      <c r="C441" s="516"/>
      <c r="D441" s="502"/>
      <c r="AS441" s="329"/>
      <c r="BC441" s="502"/>
      <c r="BD441" s="444"/>
      <c r="BF441" s="336"/>
    </row>
    <row r="442" spans="2:58" x14ac:dyDescent="0.35">
      <c r="B442" s="411"/>
      <c r="C442" s="516"/>
      <c r="D442" s="502"/>
      <c r="AS442" s="329"/>
      <c r="BC442" s="502"/>
      <c r="BD442" s="444"/>
      <c r="BF442" s="336"/>
    </row>
    <row r="443" spans="2:58" x14ac:dyDescent="0.35">
      <c r="B443" s="411"/>
      <c r="C443" s="516"/>
      <c r="D443" s="502"/>
      <c r="AS443" s="329"/>
      <c r="BC443" s="502"/>
      <c r="BD443" s="444"/>
      <c r="BF443" s="336"/>
    </row>
    <row r="444" spans="2:58" x14ac:dyDescent="0.35">
      <c r="B444" s="411"/>
      <c r="C444" s="516"/>
      <c r="D444" s="502"/>
      <c r="AS444" s="329"/>
      <c r="BC444" s="502"/>
      <c r="BD444" s="444"/>
      <c r="BF444" s="336"/>
    </row>
    <row r="445" spans="2:58" x14ac:dyDescent="0.35">
      <c r="AS445" s="329"/>
      <c r="BD445" s="444"/>
      <c r="BF445" s="336"/>
    </row>
    <row r="446" spans="2:58" x14ac:dyDescent="0.35">
      <c r="B446" s="526" t="s">
        <v>945</v>
      </c>
      <c r="C446" s="527"/>
      <c r="D446" s="527"/>
      <c r="E446" s="527"/>
      <c r="F446" s="527"/>
      <c r="G446" s="527"/>
      <c r="H446" s="527"/>
      <c r="I446" s="527"/>
      <c r="J446" s="527"/>
      <c r="K446" s="527"/>
      <c r="L446" s="527"/>
      <c r="M446" s="527"/>
      <c r="N446" s="527"/>
      <c r="O446" s="527"/>
      <c r="P446" s="527"/>
      <c r="Q446" s="527"/>
      <c r="R446" s="527"/>
      <c r="S446" s="527"/>
      <c r="T446" s="527"/>
      <c r="U446" s="527"/>
      <c r="V446" s="527"/>
      <c r="W446" s="527"/>
      <c r="X446" s="527"/>
      <c r="Y446" s="527"/>
      <c r="Z446" s="527"/>
      <c r="AA446" s="527"/>
      <c r="AB446" s="527"/>
      <c r="AC446" s="527"/>
      <c r="AD446" s="527"/>
      <c r="AE446" s="527"/>
      <c r="AF446" s="527"/>
      <c r="AG446" s="527"/>
      <c r="AH446" s="527"/>
      <c r="AI446" s="527"/>
      <c r="AJ446" s="527"/>
      <c r="AK446" s="527"/>
      <c r="AL446" s="527"/>
      <c r="AM446" s="527"/>
      <c r="AN446" s="527"/>
      <c r="AO446" s="527"/>
      <c r="AP446" s="527"/>
      <c r="AQ446" s="527"/>
      <c r="AR446" s="527"/>
      <c r="AS446" s="527"/>
      <c r="AT446" s="527"/>
      <c r="AU446" s="527"/>
      <c r="AV446" s="527"/>
      <c r="AW446" s="527"/>
      <c r="AX446" s="527"/>
      <c r="AY446" s="527"/>
      <c r="AZ446" s="527"/>
      <c r="BB446" s="527"/>
      <c r="BC446" s="527"/>
      <c r="BD446" s="444"/>
      <c r="BF446" s="336"/>
    </row>
    <row r="447" spans="2:58" x14ac:dyDescent="0.35">
      <c r="B447" s="528" t="s">
        <v>940</v>
      </c>
      <c r="C447" s="529" t="s">
        <v>892</v>
      </c>
      <c r="D447" s="530">
        <v>182074206.58999991</v>
      </c>
      <c r="E447" s="531">
        <v>32253615.866947763</v>
      </c>
      <c r="F447" s="531">
        <v>2084412.2876831293</v>
      </c>
      <c r="G447" s="531">
        <v>-68328.809286971111</v>
      </c>
      <c r="H447" s="531">
        <v>-2391601.7753268979</v>
      </c>
      <c r="I447" s="531">
        <v>16074542.57656165</v>
      </c>
      <c r="J447" s="531">
        <v>213041.17074922178</v>
      </c>
      <c r="K447" s="531">
        <v>-183413.51902969996</v>
      </c>
      <c r="L447" s="531">
        <v>-678.41161519914863</v>
      </c>
      <c r="M447" s="531">
        <v>13658.449104713156</v>
      </c>
      <c r="N447" s="531">
        <v>18993.65433911428</v>
      </c>
      <c r="O447" s="531">
        <v>1105216.3354017462</v>
      </c>
      <c r="P447" s="531">
        <v>-151116.36784572125</v>
      </c>
      <c r="Q447" s="531">
        <v>-30503.742766919091</v>
      </c>
      <c r="R447" s="531">
        <v>-435005.0623120963</v>
      </c>
      <c r="S447" s="531">
        <v>-778045.66996666696</v>
      </c>
      <c r="T447" s="531">
        <v>13098.494505843493</v>
      </c>
      <c r="U447" s="531">
        <v>-1117190.4516966809</v>
      </c>
      <c r="V447" s="531">
        <v>-2924834.9278341117</v>
      </c>
      <c r="W447" s="531">
        <v>0</v>
      </c>
      <c r="X447" s="531">
        <v>-6824350.6486586146</v>
      </c>
      <c r="Y447" s="531">
        <v>14420.256752399737</v>
      </c>
      <c r="Z447" s="531">
        <v>0</v>
      </c>
      <c r="AA447" s="531">
        <v>0</v>
      </c>
      <c r="AB447" s="531">
        <v>-2899321.94739606</v>
      </c>
      <c r="AC447" s="531">
        <v>-267705.11489864736</v>
      </c>
      <c r="AD447" s="531">
        <v>0</v>
      </c>
      <c r="AE447" s="530">
        <v>0</v>
      </c>
      <c r="AF447" s="531">
        <v>0</v>
      </c>
      <c r="AG447" s="531">
        <v>0</v>
      </c>
      <c r="AH447" s="531">
        <v>0</v>
      </c>
      <c r="AI447" s="531">
        <v>0</v>
      </c>
      <c r="AJ447" s="531">
        <v>0</v>
      </c>
      <c r="AK447" s="531">
        <v>-1702914.1352699972</v>
      </c>
      <c r="AL447" s="531">
        <v>-1275792.7171000002</v>
      </c>
      <c r="AM447" s="531">
        <v>69091.03</v>
      </c>
      <c r="AN447" s="531">
        <v>0</v>
      </c>
      <c r="AO447" s="531">
        <v>0</v>
      </c>
      <c r="AP447" s="531">
        <v>0</v>
      </c>
      <c r="AQ447" s="531">
        <v>0</v>
      </c>
      <c r="AR447" s="531">
        <v>662617.10414054128</v>
      </c>
      <c r="AS447" s="531">
        <v>662617.10414054128</v>
      </c>
      <c r="AT447" s="531">
        <v>0</v>
      </c>
      <c r="AU447" s="531">
        <v>0</v>
      </c>
      <c r="AV447" s="531">
        <v>0</v>
      </c>
      <c r="AW447" s="531">
        <v>0</v>
      </c>
      <c r="AX447" s="531">
        <v>0</v>
      </c>
      <c r="AY447" s="531">
        <v>0</v>
      </c>
      <c r="AZ447" s="531">
        <v>0</v>
      </c>
      <c r="BB447" s="531">
        <v>31471903.925181746</v>
      </c>
      <c r="BC447" s="532">
        <v>213546110.51518196</v>
      </c>
      <c r="BD447" s="444"/>
      <c r="BF447" s="336"/>
    </row>
    <row r="448" spans="2:58" x14ac:dyDescent="0.35">
      <c r="B448" s="533" t="s">
        <v>132</v>
      </c>
      <c r="C448" s="537" t="s">
        <v>892</v>
      </c>
      <c r="D448" s="535">
        <v>2948894387.0453196</v>
      </c>
      <c r="E448" s="536">
        <v>0</v>
      </c>
      <c r="F448" s="536">
        <v>0</v>
      </c>
      <c r="G448" s="536">
        <v>0</v>
      </c>
      <c r="H448" s="536">
        <v>0</v>
      </c>
      <c r="I448" s="536">
        <v>0</v>
      </c>
      <c r="J448" s="536">
        <v>0</v>
      </c>
      <c r="K448" s="536">
        <v>0</v>
      </c>
      <c r="L448" s="536">
        <v>0</v>
      </c>
      <c r="M448" s="536">
        <v>0</v>
      </c>
      <c r="N448" s="536">
        <v>0</v>
      </c>
      <c r="O448" s="536">
        <v>0</v>
      </c>
      <c r="P448" s="536">
        <v>0</v>
      </c>
      <c r="Q448" s="536">
        <v>0</v>
      </c>
      <c r="R448" s="536">
        <v>0</v>
      </c>
      <c r="S448" s="536">
        <v>0</v>
      </c>
      <c r="T448" s="536">
        <v>0</v>
      </c>
      <c r="U448" s="536">
        <v>0</v>
      </c>
      <c r="V448" s="536">
        <v>0</v>
      </c>
      <c r="W448" s="536">
        <v>50455434.08198075</v>
      </c>
      <c r="X448" s="536">
        <v>-6824350.6486586146</v>
      </c>
      <c r="Y448" s="536">
        <v>0</v>
      </c>
      <c r="Z448" s="536">
        <v>0</v>
      </c>
      <c r="AA448" s="536">
        <v>0</v>
      </c>
      <c r="AB448" s="536">
        <v>-57834387.276298791</v>
      </c>
      <c r="AC448" s="536">
        <v>0</v>
      </c>
      <c r="AD448" s="536">
        <v>0</v>
      </c>
      <c r="AE448" s="535">
        <v>0</v>
      </c>
      <c r="AF448" s="536">
        <v>0</v>
      </c>
      <c r="AG448" s="536">
        <v>0</v>
      </c>
      <c r="AH448" s="536">
        <v>0</v>
      </c>
      <c r="AI448" s="536">
        <v>0</v>
      </c>
      <c r="AJ448" s="536">
        <v>0</v>
      </c>
      <c r="AK448" s="536">
        <v>0</v>
      </c>
      <c r="AL448" s="536">
        <v>0</v>
      </c>
      <c r="AM448" s="536">
        <v>0</v>
      </c>
      <c r="AN448" s="536">
        <v>0</v>
      </c>
      <c r="AO448" s="536">
        <v>0</v>
      </c>
      <c r="AP448" s="536">
        <v>0</v>
      </c>
      <c r="AQ448" s="536">
        <v>0</v>
      </c>
      <c r="AR448" s="536">
        <v>-24218047.431628965</v>
      </c>
      <c r="AS448" s="536">
        <v>-24218047.431628965</v>
      </c>
      <c r="AT448" s="536">
        <v>0</v>
      </c>
      <c r="AU448" s="536">
        <v>0</v>
      </c>
      <c r="AV448" s="536">
        <v>0</v>
      </c>
      <c r="AW448" s="536">
        <v>0</v>
      </c>
      <c r="AX448" s="536">
        <v>0</v>
      </c>
      <c r="AY448" s="536">
        <v>0</v>
      </c>
      <c r="AZ448" s="536">
        <v>0</v>
      </c>
      <c r="BB448" s="536">
        <v>-38421351.274605609</v>
      </c>
      <c r="BC448" s="537">
        <v>2910473035.7707138</v>
      </c>
      <c r="BD448" s="444"/>
      <c r="BF448" s="336"/>
    </row>
    <row r="449" spans="2:58" x14ac:dyDescent="0.35">
      <c r="B449" s="538" t="s">
        <v>187</v>
      </c>
      <c r="C449" s="765" t="s">
        <v>892</v>
      </c>
      <c r="D449" s="535">
        <v>57697512.531562082</v>
      </c>
      <c r="E449" s="536">
        <v>-42764598.153237559</v>
      </c>
      <c r="F449" s="536">
        <v>-2763691.8054755479</v>
      </c>
      <c r="G449" s="536">
        <v>90596.170162767157</v>
      </c>
      <c r="H449" s="536">
        <v>3170989.8600619426</v>
      </c>
      <c r="I449" s="536">
        <v>-21313001.203322735</v>
      </c>
      <c r="J449" s="536">
        <v>-282468.17642923386</v>
      </c>
      <c r="K449" s="536">
        <v>243185.30578192096</v>
      </c>
      <c r="L449" s="536">
        <v>899.49605111440485</v>
      </c>
      <c r="M449" s="536">
        <v>-18109.53816059012</v>
      </c>
      <c r="N449" s="536">
        <v>-25183.408850171345</v>
      </c>
      <c r="O449" s="536">
        <v>-1465390.1953450101</v>
      </c>
      <c r="P449" s="536">
        <v>200362.98478774729</v>
      </c>
      <c r="Q449" s="536">
        <v>40444.466970098751</v>
      </c>
      <c r="R449" s="536">
        <v>576766.85805216338</v>
      </c>
      <c r="S449" s="536">
        <v>1031599.388987815</v>
      </c>
      <c r="T449" s="536">
        <v>-17367.102537139366</v>
      </c>
      <c r="U449" s="536">
        <v>1481266.5012359649</v>
      </c>
      <c r="V449" s="536">
        <v>3877995.9080977277</v>
      </c>
      <c r="W449" s="536">
        <v>5117706.4135350725</v>
      </c>
      <c r="X449" s="536">
        <v>8356111.369117517</v>
      </c>
      <c r="Y449" s="536">
        <v>-19119.607793023639</v>
      </c>
      <c r="Z449" s="536">
        <v>0</v>
      </c>
      <c r="AA449" s="536">
        <v>0</v>
      </c>
      <c r="AB449" s="536">
        <v>-2021986.7321841405</v>
      </c>
      <c r="AC449" s="536">
        <v>354946.30150719668</v>
      </c>
      <c r="AD449" s="536">
        <v>0</v>
      </c>
      <c r="AE449" s="535">
        <v>0</v>
      </c>
      <c r="AF449" s="536">
        <v>0</v>
      </c>
      <c r="AG449" s="536">
        <v>0</v>
      </c>
      <c r="AH449" s="536">
        <v>0</v>
      </c>
      <c r="AI449" s="536">
        <v>0</v>
      </c>
      <c r="AJ449" s="536">
        <v>0</v>
      </c>
      <c r="AK449" s="536">
        <v>2257868.9776893225</v>
      </c>
      <c r="AL449" s="536">
        <v>1691554.9282497123</v>
      </c>
      <c r="AM449" s="536">
        <v>-91606.787472504453</v>
      </c>
      <c r="AN449" s="536">
        <v>0</v>
      </c>
      <c r="AO449" s="536">
        <v>0</v>
      </c>
      <c r="AP449" s="536">
        <v>0</v>
      </c>
      <c r="AQ449" s="536">
        <v>0</v>
      </c>
      <c r="AR449" s="536">
        <v>-3334996.5230779066</v>
      </c>
      <c r="AS449" s="536">
        <v>-3334996.5230779066</v>
      </c>
      <c r="AT449" s="536">
        <v>0</v>
      </c>
      <c r="AU449" s="536">
        <v>0</v>
      </c>
      <c r="AV449" s="536">
        <v>0</v>
      </c>
      <c r="AW449" s="536">
        <v>0</v>
      </c>
      <c r="AX449" s="536">
        <v>0</v>
      </c>
      <c r="AY449" s="536">
        <v>0</v>
      </c>
      <c r="AZ449" s="536">
        <v>0</v>
      </c>
      <c r="BB449" s="536">
        <v>-45625224.30359748</v>
      </c>
      <c r="BC449" s="537">
        <v>12072288.227964321</v>
      </c>
      <c r="BD449" s="444"/>
      <c r="BF449" s="336"/>
    </row>
    <row r="450" spans="2:58" x14ac:dyDescent="0.35">
      <c r="B450" s="528" t="s">
        <v>940</v>
      </c>
      <c r="C450" s="753">
        <v>45291</v>
      </c>
      <c r="D450" s="530">
        <v>213546110.51518196</v>
      </c>
      <c r="E450" s="531">
        <v>-44024033.448781371</v>
      </c>
      <c r="F450" s="531">
        <v>0</v>
      </c>
      <c r="G450" s="531">
        <v>-17690711.461626638</v>
      </c>
      <c r="H450" s="531">
        <v>133104.75165847223</v>
      </c>
      <c r="I450" s="531">
        <v>-596614.66645446536</v>
      </c>
      <c r="J450" s="531">
        <v>0</v>
      </c>
      <c r="K450" s="531">
        <v>0</v>
      </c>
      <c r="L450" s="531">
        <v>0</v>
      </c>
      <c r="M450" s="531">
        <v>-203582.65075738163</v>
      </c>
      <c r="N450" s="531">
        <v>0</v>
      </c>
      <c r="O450" s="531">
        <v>-185023.04623741916</v>
      </c>
      <c r="P450" s="531">
        <v>0</v>
      </c>
      <c r="Q450" s="531">
        <v>0</v>
      </c>
      <c r="R450" s="531">
        <v>0</v>
      </c>
      <c r="S450" s="531">
        <v>0</v>
      </c>
      <c r="T450" s="531">
        <v>0</v>
      </c>
      <c r="U450" s="531">
        <v>0</v>
      </c>
      <c r="V450" s="531">
        <v>0</v>
      </c>
      <c r="W450" s="531">
        <v>0</v>
      </c>
      <c r="X450" s="531">
        <v>0</v>
      </c>
      <c r="Y450" s="531">
        <v>0</v>
      </c>
      <c r="Z450" s="531">
        <v>0</v>
      </c>
      <c r="AA450" s="531">
        <v>2295831.8296000003</v>
      </c>
      <c r="AB450" s="531">
        <v>0</v>
      </c>
      <c r="AC450" s="531">
        <v>8365.7662636469395</v>
      </c>
      <c r="AD450" s="531">
        <v>0</v>
      </c>
      <c r="AE450" s="530">
        <v>-298420.97900107928</v>
      </c>
      <c r="AF450" s="531">
        <v>33679.343200000003</v>
      </c>
      <c r="AG450" s="531">
        <v>-482904.13487989997</v>
      </c>
      <c r="AH450" s="531">
        <v>-318963.84299999994</v>
      </c>
      <c r="AI450" s="531">
        <v>-488.0462</v>
      </c>
      <c r="AJ450" s="531">
        <v>-300603.53971829993</v>
      </c>
      <c r="AK450" s="531">
        <v>0</v>
      </c>
      <c r="AL450" s="531">
        <v>0</v>
      </c>
      <c r="AM450" s="531">
        <v>0</v>
      </c>
      <c r="AN450" s="531">
        <v>0</v>
      </c>
      <c r="AO450" s="531">
        <v>0</v>
      </c>
      <c r="AP450" s="531">
        <v>-15145433.462216999</v>
      </c>
      <c r="AQ450" s="531">
        <v>-2374790.7095624562</v>
      </c>
      <c r="AR450" s="531">
        <v>330440.00281978119</v>
      </c>
      <c r="AS450" s="531">
        <v>330440.00281978119</v>
      </c>
      <c r="AT450" s="531">
        <v>0</v>
      </c>
      <c r="AU450" s="531">
        <v>0</v>
      </c>
      <c r="AV450" s="531">
        <v>0</v>
      </c>
      <c r="AW450" s="531">
        <v>0</v>
      </c>
      <c r="AX450" s="531">
        <v>0</v>
      </c>
      <c r="AY450" s="531">
        <v>0</v>
      </c>
      <c r="AZ450" s="531">
        <v>0</v>
      </c>
      <c r="BB450" s="531">
        <v>-78820148.294894114</v>
      </c>
      <c r="BC450" s="532">
        <v>134725962.22028792</v>
      </c>
      <c r="BD450" s="444"/>
      <c r="BF450" s="336"/>
    </row>
    <row r="451" spans="2:58" x14ac:dyDescent="0.35">
      <c r="B451" s="533" t="s">
        <v>132</v>
      </c>
      <c r="C451" s="754">
        <v>45291</v>
      </c>
      <c r="D451" s="535">
        <v>2910473035.7707138</v>
      </c>
      <c r="E451" s="536">
        <v>0</v>
      </c>
      <c r="F451" s="536">
        <v>0</v>
      </c>
      <c r="G451" s="536">
        <v>0</v>
      </c>
      <c r="H451" s="536">
        <v>0</v>
      </c>
      <c r="I451" s="536">
        <v>0</v>
      </c>
      <c r="J451" s="536">
        <v>0</v>
      </c>
      <c r="K451" s="536">
        <v>0</v>
      </c>
      <c r="L451" s="536">
        <v>0</v>
      </c>
      <c r="M451" s="536">
        <v>0</v>
      </c>
      <c r="N451" s="536">
        <v>0</v>
      </c>
      <c r="O451" s="536">
        <v>0</v>
      </c>
      <c r="P451" s="536">
        <v>0</v>
      </c>
      <c r="Q451" s="536">
        <v>0</v>
      </c>
      <c r="R451" s="536">
        <v>0</v>
      </c>
      <c r="S451" s="536">
        <v>0</v>
      </c>
      <c r="T451" s="536">
        <v>0</v>
      </c>
      <c r="U451" s="536">
        <v>0</v>
      </c>
      <c r="V451" s="536">
        <v>0</v>
      </c>
      <c r="W451" s="536">
        <v>0</v>
      </c>
      <c r="X451" s="536">
        <v>0</v>
      </c>
      <c r="Y451" s="536">
        <v>0</v>
      </c>
      <c r="Z451" s="536">
        <v>0</v>
      </c>
      <c r="AA451" s="536">
        <v>-28019480.875479184</v>
      </c>
      <c r="AB451" s="536">
        <v>57834387.276298791</v>
      </c>
      <c r="AC451" s="536">
        <v>0</v>
      </c>
      <c r="AD451" s="536">
        <v>0</v>
      </c>
      <c r="AE451" s="535">
        <v>-81821842.066694736</v>
      </c>
      <c r="AF451" s="536">
        <v>42632.08</v>
      </c>
      <c r="AG451" s="536">
        <v>63796583.976750001</v>
      </c>
      <c r="AH451" s="536">
        <v>52899028.379999995</v>
      </c>
      <c r="AI451" s="536">
        <v>57980.340000000004</v>
      </c>
      <c r="AJ451" s="536">
        <v>46959913.410709992</v>
      </c>
      <c r="AK451" s="536">
        <v>0</v>
      </c>
      <c r="AL451" s="536">
        <v>0</v>
      </c>
      <c r="AM451" s="536">
        <v>0</v>
      </c>
      <c r="AN451" s="536">
        <v>0</v>
      </c>
      <c r="AO451" s="536">
        <v>0</v>
      </c>
      <c r="AP451" s="536">
        <v>-244980865.4539476</v>
      </c>
      <c r="AQ451" s="536">
        <v>24719599.411719467</v>
      </c>
      <c r="AR451" s="536">
        <v>488404.91943644884</v>
      </c>
      <c r="AS451" s="536">
        <v>488404.91943644884</v>
      </c>
      <c r="AT451" s="536">
        <v>0</v>
      </c>
      <c r="AU451" s="536">
        <v>0</v>
      </c>
      <c r="AV451" s="536">
        <v>0</v>
      </c>
      <c r="AW451" s="536">
        <v>0</v>
      </c>
      <c r="AX451" s="536">
        <v>0</v>
      </c>
      <c r="AY451" s="536">
        <v>0</v>
      </c>
      <c r="AZ451" s="536">
        <v>0</v>
      </c>
      <c r="BB451" s="536">
        <v>-108023658.60120685</v>
      </c>
      <c r="BC451" s="537">
        <v>2802449377.1695061</v>
      </c>
      <c r="BD451" s="444"/>
      <c r="BF451" s="336"/>
    </row>
    <row r="452" spans="2:58" x14ac:dyDescent="0.35">
      <c r="B452" s="538" t="s">
        <v>187</v>
      </c>
      <c r="C452" s="755">
        <v>45291</v>
      </c>
      <c r="D452" s="535">
        <v>12072288.227964321</v>
      </c>
      <c r="E452" s="536">
        <v>58370822.895894624</v>
      </c>
      <c r="F452" s="536">
        <v>0</v>
      </c>
      <c r="G452" s="536">
        <v>23455855.920842834</v>
      </c>
      <c r="H452" s="536">
        <v>-176481.64597861908</v>
      </c>
      <c r="I452" s="536">
        <v>791042.67157217569</v>
      </c>
      <c r="J452" s="536">
        <v>0</v>
      </c>
      <c r="K452" s="536">
        <v>0</v>
      </c>
      <c r="L452" s="536">
        <v>0</v>
      </c>
      <c r="M452" s="536">
        <v>269927.26293153479</v>
      </c>
      <c r="N452" s="536">
        <v>0</v>
      </c>
      <c r="O452" s="536">
        <v>245319.35439646247</v>
      </c>
      <c r="P452" s="536">
        <v>0</v>
      </c>
      <c r="Q452" s="536">
        <v>0</v>
      </c>
      <c r="R452" s="536">
        <v>0</v>
      </c>
      <c r="S452" s="536">
        <v>0</v>
      </c>
      <c r="T452" s="536">
        <v>0</v>
      </c>
      <c r="U452" s="536">
        <v>0</v>
      </c>
      <c r="V452" s="536">
        <v>0</v>
      </c>
      <c r="W452" s="536">
        <v>0</v>
      </c>
      <c r="X452" s="536">
        <v>0</v>
      </c>
      <c r="Y452" s="536">
        <v>0</v>
      </c>
      <c r="Z452" s="536">
        <v>0</v>
      </c>
      <c r="AA452" s="536">
        <v>-5886032.3497130889</v>
      </c>
      <c r="AB452" s="536">
        <v>5866155.3521841401</v>
      </c>
      <c r="AC452" s="536">
        <v>-11092.047291212084</v>
      </c>
      <c r="AD452" s="536">
        <v>0</v>
      </c>
      <c r="AE452" s="535">
        <v>-7903536.4533640593</v>
      </c>
      <c r="AF452" s="536">
        <v>-40330.767409206688</v>
      </c>
      <c r="AG452" s="536">
        <v>7111177.888873932</v>
      </c>
      <c r="AH452" s="536">
        <v>5788470.2518651886</v>
      </c>
      <c r="AI452" s="536">
        <v>6528.052698640834</v>
      </c>
      <c r="AJ452" s="536">
        <v>5161720.7813145807</v>
      </c>
      <c r="AK452" s="536">
        <v>0</v>
      </c>
      <c r="AL452" s="536">
        <v>0</v>
      </c>
      <c r="AM452" s="536">
        <v>0</v>
      </c>
      <c r="AN452" s="536">
        <v>0</v>
      </c>
      <c r="AO452" s="536">
        <v>0</v>
      </c>
      <c r="AP452" s="536">
        <v>-4767357.1590651339</v>
      </c>
      <c r="AQ452" s="536">
        <v>5656015.0309779812</v>
      </c>
      <c r="AR452" s="536">
        <v>-388586.54847223905</v>
      </c>
      <c r="AS452" s="536">
        <v>-388586.54847223905</v>
      </c>
      <c r="AT452" s="536">
        <v>0</v>
      </c>
      <c r="AU452" s="536">
        <v>0</v>
      </c>
      <c r="AV452" s="536">
        <v>0</v>
      </c>
      <c r="AW452" s="536">
        <v>0</v>
      </c>
      <c r="AX452" s="536">
        <v>0</v>
      </c>
      <c r="AY452" s="536">
        <v>0</v>
      </c>
      <c r="AZ452" s="536">
        <v>0</v>
      </c>
      <c r="BB452" s="536">
        <v>93549618.492258564</v>
      </c>
      <c r="BC452" s="537">
        <v>105621906.72022264</v>
      </c>
      <c r="BD452" s="444"/>
      <c r="BF452" s="336"/>
    </row>
    <row r="453" spans="2:58" x14ac:dyDescent="0.35">
      <c r="B453" s="528" t="s">
        <v>940</v>
      </c>
      <c r="C453" s="529" t="s">
        <v>925</v>
      </c>
      <c r="D453" s="530">
        <v>134725962.22028792</v>
      </c>
      <c r="E453" s="531">
        <v>-7462782.624420505</v>
      </c>
      <c r="F453" s="531">
        <v>0</v>
      </c>
      <c r="G453" s="531">
        <v>0</v>
      </c>
      <c r="H453" s="531">
        <v>-348814.75209316192</v>
      </c>
      <c r="I453" s="531">
        <v>543136.50103020924</v>
      </c>
      <c r="J453" s="531">
        <v>0</v>
      </c>
      <c r="K453" s="531">
        <v>0</v>
      </c>
      <c r="L453" s="531">
        <v>0</v>
      </c>
      <c r="M453" s="531">
        <v>0</v>
      </c>
      <c r="N453" s="531">
        <v>0</v>
      </c>
      <c r="O453" s="531">
        <v>-81134.752065464156</v>
      </c>
      <c r="P453" s="531">
        <v>0</v>
      </c>
      <c r="Q453" s="531">
        <v>0</v>
      </c>
      <c r="R453" s="531">
        <v>0</v>
      </c>
      <c r="S453" s="531">
        <v>0</v>
      </c>
      <c r="T453" s="531">
        <v>0</v>
      </c>
      <c r="U453" s="531">
        <v>0</v>
      </c>
      <c r="V453" s="531">
        <v>0</v>
      </c>
      <c r="W453" s="531">
        <v>0</v>
      </c>
      <c r="X453" s="531">
        <v>0</v>
      </c>
      <c r="Y453" s="531">
        <v>0</v>
      </c>
      <c r="Z453" s="531">
        <v>0</v>
      </c>
      <c r="AA453" s="531">
        <v>0</v>
      </c>
      <c r="AB453" s="531">
        <v>0</v>
      </c>
      <c r="AC453" s="531">
        <v>-8365.7772850000765</v>
      </c>
      <c r="AD453" s="531">
        <v>0</v>
      </c>
      <c r="AE453" s="530">
        <v>1555027.3769056804</v>
      </c>
      <c r="AF453" s="531">
        <v>201172.12539999996</v>
      </c>
      <c r="AG453" s="531">
        <v>-5523856.8748024488</v>
      </c>
      <c r="AH453" s="531">
        <v>-2203239.8638000004</v>
      </c>
      <c r="AI453" s="531">
        <v>-12006.538499999999</v>
      </c>
      <c r="AJ453" s="531">
        <v>-4818440.9902843507</v>
      </c>
      <c r="AK453" s="531">
        <v>0</v>
      </c>
      <c r="AL453" s="531">
        <v>0</v>
      </c>
      <c r="AM453" s="531">
        <v>0</v>
      </c>
      <c r="AN453" s="531">
        <v>0</v>
      </c>
      <c r="AO453" s="531">
        <v>0</v>
      </c>
      <c r="AP453" s="531">
        <v>0</v>
      </c>
      <c r="AQ453" s="531">
        <v>1994565.5414671653</v>
      </c>
      <c r="AR453" s="531">
        <v>660880.00563955808</v>
      </c>
      <c r="AS453" s="531">
        <v>660880.00563955808</v>
      </c>
      <c r="AT453" s="531">
        <v>0</v>
      </c>
      <c r="AU453" s="531">
        <v>0</v>
      </c>
      <c r="AV453" s="531">
        <v>0</v>
      </c>
      <c r="AW453" s="531">
        <v>0</v>
      </c>
      <c r="AX453" s="531">
        <v>0</v>
      </c>
      <c r="AY453" s="531">
        <v>0</v>
      </c>
      <c r="AZ453" s="531">
        <v>0</v>
      </c>
      <c r="BB453" s="531">
        <v>-15503860.622808319</v>
      </c>
      <c r="BC453" s="532">
        <v>119222101.59747952</v>
      </c>
      <c r="BD453" s="444"/>
      <c r="BF453" s="336"/>
    </row>
    <row r="454" spans="2:58" x14ac:dyDescent="0.35">
      <c r="B454" s="533" t="s">
        <v>132</v>
      </c>
      <c r="C454" s="534" t="s">
        <v>925</v>
      </c>
      <c r="D454" s="535">
        <v>2802449377.1695061</v>
      </c>
      <c r="E454" s="536">
        <v>0</v>
      </c>
      <c r="F454" s="536">
        <v>0</v>
      </c>
      <c r="G454" s="536">
        <v>0</v>
      </c>
      <c r="H454" s="536">
        <v>0</v>
      </c>
      <c r="I454" s="536">
        <v>0</v>
      </c>
      <c r="J454" s="536">
        <v>0</v>
      </c>
      <c r="K454" s="536">
        <v>0</v>
      </c>
      <c r="L454" s="536">
        <v>0</v>
      </c>
      <c r="M454" s="536">
        <v>0</v>
      </c>
      <c r="N454" s="536">
        <v>0</v>
      </c>
      <c r="O454" s="536">
        <v>0</v>
      </c>
      <c r="P454" s="536">
        <v>0</v>
      </c>
      <c r="Q454" s="536">
        <v>0</v>
      </c>
      <c r="R454" s="536">
        <v>0</v>
      </c>
      <c r="S454" s="536">
        <v>0</v>
      </c>
      <c r="T454" s="536">
        <v>0</v>
      </c>
      <c r="U454" s="536">
        <v>0</v>
      </c>
      <c r="V454" s="536">
        <v>0</v>
      </c>
      <c r="W454" s="536">
        <v>0</v>
      </c>
      <c r="X454" s="536">
        <v>0</v>
      </c>
      <c r="Y454" s="536">
        <v>0</v>
      </c>
      <c r="Z454" s="536">
        <v>0</v>
      </c>
      <c r="AA454" s="536">
        <v>0</v>
      </c>
      <c r="AB454" s="536">
        <v>0</v>
      </c>
      <c r="AC454" s="536">
        <v>0</v>
      </c>
      <c r="AD454" s="536">
        <v>0</v>
      </c>
      <c r="AE454" s="535">
        <v>-172911836.65312946</v>
      </c>
      <c r="AF454" s="536">
        <v>297280.34000000003</v>
      </c>
      <c r="AG454" s="536">
        <v>126477500.64549002</v>
      </c>
      <c r="AH454" s="536">
        <v>85035899.859999985</v>
      </c>
      <c r="AI454" s="536">
        <v>13028953.590000002</v>
      </c>
      <c r="AJ454" s="536">
        <v>54132411.425150014</v>
      </c>
      <c r="AK454" s="536">
        <v>0</v>
      </c>
      <c r="AL454" s="536">
        <v>0</v>
      </c>
      <c r="AM454" s="536">
        <v>0</v>
      </c>
      <c r="AN454" s="536">
        <v>0</v>
      </c>
      <c r="AO454" s="536">
        <v>0</v>
      </c>
      <c r="AP454" s="536">
        <v>0</v>
      </c>
      <c r="AQ454" s="536">
        <v>-8672507.3526021261</v>
      </c>
      <c r="AR454" s="536">
        <v>953145.69718474289</v>
      </c>
      <c r="AS454" s="536">
        <v>953145.69718474289</v>
      </c>
      <c r="AT454" s="536">
        <v>0</v>
      </c>
      <c r="AU454" s="536">
        <v>0</v>
      </c>
      <c r="AV454" s="536">
        <v>0</v>
      </c>
      <c r="AW454" s="536">
        <v>0</v>
      </c>
      <c r="AX454" s="536">
        <v>0</v>
      </c>
      <c r="AY454" s="536">
        <v>0</v>
      </c>
      <c r="AZ454" s="536">
        <v>0</v>
      </c>
      <c r="BB454" s="536">
        <v>98340847.552093089</v>
      </c>
      <c r="BC454" s="537">
        <v>2900790224.7215991</v>
      </c>
      <c r="BD454" s="444"/>
      <c r="BF454" s="336"/>
    </row>
    <row r="455" spans="2:58" x14ac:dyDescent="0.35">
      <c r="B455" s="538" t="s">
        <v>187</v>
      </c>
      <c r="C455" s="539" t="s">
        <v>925</v>
      </c>
      <c r="D455" s="535">
        <v>105621906.72022264</v>
      </c>
      <c r="E455" s="536">
        <v>9894794.4737368692</v>
      </c>
      <c r="F455" s="536">
        <v>0</v>
      </c>
      <c r="G455" s="536">
        <v>0</v>
      </c>
      <c r="H455" s="536">
        <v>462488.38470453559</v>
      </c>
      <c r="I455" s="536">
        <v>-720136.75318538561</v>
      </c>
      <c r="J455" s="536">
        <v>0</v>
      </c>
      <c r="K455" s="536">
        <v>0</v>
      </c>
      <c r="L455" s="536">
        <v>0</v>
      </c>
      <c r="M455" s="536">
        <v>0</v>
      </c>
      <c r="N455" s="536">
        <v>0</v>
      </c>
      <c r="O455" s="536">
        <v>107575.38263788102</v>
      </c>
      <c r="P455" s="536">
        <v>0</v>
      </c>
      <c r="Q455" s="536">
        <v>0</v>
      </c>
      <c r="R455" s="536">
        <v>0</v>
      </c>
      <c r="S455" s="536">
        <v>0</v>
      </c>
      <c r="T455" s="536">
        <v>0</v>
      </c>
      <c r="U455" s="536">
        <v>0</v>
      </c>
      <c r="V455" s="536">
        <v>0</v>
      </c>
      <c r="W455" s="536">
        <v>0</v>
      </c>
      <c r="X455" s="536">
        <v>0</v>
      </c>
      <c r="Y455" s="536">
        <v>0</v>
      </c>
      <c r="Z455" s="536">
        <v>0</v>
      </c>
      <c r="AA455" s="536">
        <v>0</v>
      </c>
      <c r="AB455" s="536">
        <v>0</v>
      </c>
      <c r="AC455" s="536">
        <v>11092.061904263221</v>
      </c>
      <c r="AD455" s="536">
        <v>0</v>
      </c>
      <c r="AE455" s="535">
        <v>-19600275.89138623</v>
      </c>
      <c r="AF455" s="536">
        <v>-236577.96854469486</v>
      </c>
      <c r="AG455" s="536">
        <v>20152643.449771397</v>
      </c>
      <c r="AH455" s="536">
        <v>11546454.652850056</v>
      </c>
      <c r="AI455" s="536">
        <v>1337449.0868428415</v>
      </c>
      <c r="AJ455" s="536">
        <v>11879363.607241359</v>
      </c>
      <c r="AK455" s="536">
        <v>0</v>
      </c>
      <c r="AL455" s="536">
        <v>0</v>
      </c>
      <c r="AM455" s="536">
        <v>0</v>
      </c>
      <c r="AN455" s="536">
        <v>0</v>
      </c>
      <c r="AO455" s="536">
        <v>0</v>
      </c>
      <c r="AP455" s="536">
        <v>0</v>
      </c>
      <c r="AQ455" s="536">
        <v>-3524219.7548189014</v>
      </c>
      <c r="AR455" s="536">
        <v>-779573.35633955558</v>
      </c>
      <c r="AS455" s="536">
        <v>-779573.35633955558</v>
      </c>
      <c r="AT455" s="536">
        <v>0</v>
      </c>
      <c r="AU455" s="536">
        <v>0</v>
      </c>
      <c r="AV455" s="536">
        <v>0</v>
      </c>
      <c r="AW455" s="536">
        <v>0</v>
      </c>
      <c r="AX455" s="536">
        <v>0</v>
      </c>
      <c r="AY455" s="536">
        <v>0</v>
      </c>
      <c r="AZ455" s="536">
        <v>0</v>
      </c>
      <c r="BB455" s="536">
        <v>30531077.375414435</v>
      </c>
      <c r="BC455" s="537">
        <v>136152984.09563714</v>
      </c>
      <c r="BD455" s="444"/>
      <c r="BF455" s="336"/>
    </row>
    <row r="456" spans="2:58" x14ac:dyDescent="0.35">
      <c r="B456" s="528" t="s">
        <v>940</v>
      </c>
      <c r="C456" s="529" t="s">
        <v>941</v>
      </c>
      <c r="D456" s="530">
        <v>119222101.59747952</v>
      </c>
      <c r="E456" s="531">
        <v>-6337543.8691784702</v>
      </c>
      <c r="F456" s="531">
        <v>0</v>
      </c>
      <c r="G456" s="531">
        <v>0</v>
      </c>
      <c r="H456" s="531">
        <v>3984285.403344369</v>
      </c>
      <c r="I456" s="531">
        <v>51423.477331428228</v>
      </c>
      <c r="J456" s="531">
        <v>0</v>
      </c>
      <c r="K456" s="531">
        <v>0</v>
      </c>
      <c r="L456" s="531">
        <v>0</v>
      </c>
      <c r="M456" s="531">
        <v>0</v>
      </c>
      <c r="N456" s="531">
        <v>0</v>
      </c>
      <c r="O456" s="531">
        <v>-19246.648578410714</v>
      </c>
      <c r="P456" s="531">
        <v>0</v>
      </c>
      <c r="Q456" s="531">
        <v>0</v>
      </c>
      <c r="R456" s="531">
        <v>0</v>
      </c>
      <c r="S456" s="531">
        <v>0</v>
      </c>
      <c r="T456" s="531">
        <v>0</v>
      </c>
      <c r="U456" s="531">
        <v>0</v>
      </c>
      <c r="V456" s="531">
        <v>0</v>
      </c>
      <c r="W456" s="531">
        <v>0</v>
      </c>
      <c r="X456" s="531">
        <v>0</v>
      </c>
      <c r="Y456" s="531">
        <v>0</v>
      </c>
      <c r="Z456" s="531">
        <v>-7802542.1941056363</v>
      </c>
      <c r="AA456" s="531">
        <v>0</v>
      </c>
      <c r="AB456" s="531">
        <v>-3727575.3505524765</v>
      </c>
      <c r="AC456" s="531">
        <v>1366472.8491678936</v>
      </c>
      <c r="AD456" s="531">
        <v>0</v>
      </c>
      <c r="AE456" s="530">
        <v>-53244588.094624028</v>
      </c>
      <c r="AF456" s="531">
        <v>497104.17410000088</v>
      </c>
      <c r="AG456" s="531">
        <v>-8419002.0806574002</v>
      </c>
      <c r="AH456" s="531">
        <v>-3675849.0017999993</v>
      </c>
      <c r="AI456" s="531">
        <v>-355434.6433</v>
      </c>
      <c r="AJ456" s="531">
        <v>-7251841.4363879003</v>
      </c>
      <c r="AK456" s="531">
        <v>0</v>
      </c>
      <c r="AL456" s="531">
        <v>-1898572.9427632273</v>
      </c>
      <c r="AM456" s="531">
        <v>-48980</v>
      </c>
      <c r="AN456" s="531">
        <v>0</v>
      </c>
      <c r="AO456" s="531">
        <v>-318969.52152150846</v>
      </c>
      <c r="AP456" s="531">
        <v>0</v>
      </c>
      <c r="AQ456" s="531">
        <v>-10199.104871913682</v>
      </c>
      <c r="AR456" s="531">
        <v>522095.20445525099</v>
      </c>
      <c r="AS456" s="531">
        <v>522095.20445525099</v>
      </c>
      <c r="AT456" s="531">
        <v>0</v>
      </c>
      <c r="AU456" s="531">
        <v>0</v>
      </c>
      <c r="AV456" s="531">
        <v>0</v>
      </c>
      <c r="AW456" s="531">
        <v>0</v>
      </c>
      <c r="AX456" s="531">
        <v>0</v>
      </c>
      <c r="AY456" s="531">
        <v>0</v>
      </c>
      <c r="AZ456" s="531">
        <v>0</v>
      </c>
      <c r="BB456" s="531">
        <v>-86688963.779941991</v>
      </c>
      <c r="BC456" s="532">
        <v>32533137.817537546</v>
      </c>
      <c r="BD456" s="444"/>
      <c r="BF456" s="336"/>
    </row>
    <row r="457" spans="2:58" x14ac:dyDescent="0.35">
      <c r="B457" s="533" t="s">
        <v>132</v>
      </c>
      <c r="C457" s="534" t="s">
        <v>941</v>
      </c>
      <c r="D457" s="535">
        <v>2900790224.7215991</v>
      </c>
      <c r="E457" s="536">
        <v>0</v>
      </c>
      <c r="F457" s="536">
        <v>0</v>
      </c>
      <c r="G457" s="536">
        <v>0</v>
      </c>
      <c r="H457" s="536">
        <v>0</v>
      </c>
      <c r="I457" s="536">
        <v>0</v>
      </c>
      <c r="J457" s="536">
        <v>0</v>
      </c>
      <c r="K457" s="536">
        <v>0</v>
      </c>
      <c r="L457" s="536">
        <v>0</v>
      </c>
      <c r="M457" s="536">
        <v>0</v>
      </c>
      <c r="N457" s="536">
        <v>0</v>
      </c>
      <c r="O457" s="536">
        <v>0</v>
      </c>
      <c r="P457" s="536">
        <v>0</v>
      </c>
      <c r="Q457" s="536">
        <v>0</v>
      </c>
      <c r="R457" s="536">
        <v>0</v>
      </c>
      <c r="S457" s="536">
        <v>0</v>
      </c>
      <c r="T457" s="536">
        <v>0</v>
      </c>
      <c r="U457" s="536">
        <v>0</v>
      </c>
      <c r="V457" s="536">
        <v>0</v>
      </c>
      <c r="W457" s="536">
        <v>0</v>
      </c>
      <c r="X457" s="536">
        <v>0</v>
      </c>
      <c r="Y457" s="536">
        <v>0</v>
      </c>
      <c r="Z457" s="536">
        <v>0</v>
      </c>
      <c r="AA457" s="536">
        <v>0</v>
      </c>
      <c r="AB457" s="536">
        <v>0</v>
      </c>
      <c r="AC457" s="536">
        <v>0</v>
      </c>
      <c r="AD457" s="536">
        <v>0</v>
      </c>
      <c r="AE457" s="535">
        <v>-110651507.27837408</v>
      </c>
      <c r="AF457" s="536">
        <v>424163.73</v>
      </c>
      <c r="AG457" s="536">
        <v>52167450.423619971</v>
      </c>
      <c r="AH457" s="536">
        <v>24244937.780000035</v>
      </c>
      <c r="AI457" s="536">
        <v>-280261.93000000005</v>
      </c>
      <c r="AJ457" s="536">
        <v>4403069.303989986</v>
      </c>
      <c r="AK457" s="536">
        <v>0</v>
      </c>
      <c r="AL457" s="536">
        <v>0</v>
      </c>
      <c r="AM457" s="536">
        <v>0</v>
      </c>
      <c r="AN457" s="536">
        <v>0</v>
      </c>
      <c r="AO457" s="536">
        <v>0</v>
      </c>
      <c r="AP457" s="536">
        <v>0</v>
      </c>
      <c r="AQ457" s="536">
        <v>-5170723.4230643986</v>
      </c>
      <c r="AR457" s="536">
        <v>576639.62190245662</v>
      </c>
      <c r="AS457" s="536">
        <v>576639.62190245662</v>
      </c>
      <c r="AT457" s="536">
        <v>0</v>
      </c>
      <c r="AU457" s="536">
        <v>0</v>
      </c>
      <c r="AV457" s="536">
        <v>0</v>
      </c>
      <c r="AW457" s="536">
        <v>0</v>
      </c>
      <c r="AX457" s="536">
        <v>0</v>
      </c>
      <c r="AY457" s="536">
        <v>0</v>
      </c>
      <c r="AZ457" s="536">
        <v>0</v>
      </c>
      <c r="BB457" s="536">
        <v>-34286231.771925993</v>
      </c>
      <c r="BC457" s="537">
        <v>2866503992.9496732</v>
      </c>
      <c r="BD457" s="444"/>
      <c r="BF457" s="336"/>
    </row>
    <row r="458" spans="2:58" x14ac:dyDescent="0.35">
      <c r="B458" s="538" t="s">
        <v>187</v>
      </c>
      <c r="C458" s="539" t="s">
        <v>941</v>
      </c>
      <c r="D458" s="535">
        <v>136152984.09563714</v>
      </c>
      <c r="E458" s="536">
        <v>8402856.844390735</v>
      </c>
      <c r="F458" s="536">
        <v>0</v>
      </c>
      <c r="G458" s="536">
        <v>0</v>
      </c>
      <c r="H458" s="536">
        <v>-5282705.8183091106</v>
      </c>
      <c r="I458" s="536">
        <v>-68181.637457095319</v>
      </c>
      <c r="J458" s="536">
        <v>0</v>
      </c>
      <c r="K458" s="536">
        <v>0</v>
      </c>
      <c r="L458" s="536">
        <v>0</v>
      </c>
      <c r="M458" s="536">
        <v>0</v>
      </c>
      <c r="N458" s="536">
        <v>0</v>
      </c>
      <c r="O458" s="536">
        <v>25518.850216597584</v>
      </c>
      <c r="P458" s="536">
        <v>0</v>
      </c>
      <c r="Q458" s="536">
        <v>0</v>
      </c>
      <c r="R458" s="536">
        <v>0</v>
      </c>
      <c r="S458" s="536">
        <v>0</v>
      </c>
      <c r="T458" s="536">
        <v>0</v>
      </c>
      <c r="U458" s="536">
        <v>0</v>
      </c>
      <c r="V458" s="536">
        <v>0</v>
      </c>
      <c r="W458" s="536">
        <v>0</v>
      </c>
      <c r="X458" s="536">
        <v>0</v>
      </c>
      <c r="Y458" s="536">
        <v>0</v>
      </c>
      <c r="Z458" s="536">
        <v>10345276.724354574</v>
      </c>
      <c r="AA458" s="536">
        <v>0</v>
      </c>
      <c r="AB458" s="536">
        <v>4942337.7090456896</v>
      </c>
      <c r="AC458" s="536">
        <v>-1811786.3908045786</v>
      </c>
      <c r="AD458" s="536">
        <v>0</v>
      </c>
      <c r="AE458" s="535">
        <v>59372813.499407209</v>
      </c>
      <c r="AF458" s="536">
        <v>-616080.13751420472</v>
      </c>
      <c r="AG458" s="536">
        <v>16453988.512614245</v>
      </c>
      <c r="AH458" s="536">
        <v>7332924.1765522491</v>
      </c>
      <c r="AI458" s="536">
        <v>442838.56901830115</v>
      </c>
      <c r="AJ458" s="536">
        <v>10061714.977258591</v>
      </c>
      <c r="AK458" s="536">
        <v>0</v>
      </c>
      <c r="AL458" s="536">
        <v>2517290.1325795595</v>
      </c>
      <c r="AM458" s="536">
        <v>64941.866554938722</v>
      </c>
      <c r="AN458" s="536">
        <v>0</v>
      </c>
      <c r="AO458" s="536">
        <v>422917.0294353299</v>
      </c>
      <c r="AP458" s="536">
        <v>0</v>
      </c>
      <c r="AQ458" s="536">
        <v>-510944.83520240674</v>
      </c>
      <c r="AR458" s="536">
        <v>-633749.71444368246</v>
      </c>
      <c r="AS458" s="536">
        <v>-633749.71444368246</v>
      </c>
      <c r="AT458" s="536">
        <v>0</v>
      </c>
      <c r="AU458" s="536">
        <v>0</v>
      </c>
      <c r="AV458" s="536">
        <v>0</v>
      </c>
      <c r="AW458" s="536">
        <v>0</v>
      </c>
      <c r="AX458" s="536">
        <v>0</v>
      </c>
      <c r="AY458" s="536">
        <v>0</v>
      </c>
      <c r="AZ458" s="536">
        <v>0</v>
      </c>
      <c r="BB458" s="536">
        <v>111461970.35769695</v>
      </c>
      <c r="BC458" s="537">
        <v>247614954.45333406</v>
      </c>
      <c r="BD458" s="444"/>
      <c r="BF458" s="336"/>
    </row>
    <row r="459" spans="2:58" x14ac:dyDescent="0.35">
      <c r="B459" s="528" t="s">
        <v>940</v>
      </c>
      <c r="C459" s="529" t="s">
        <v>942</v>
      </c>
      <c r="D459" s="530">
        <v>32533137.817537546</v>
      </c>
      <c r="E459" s="531">
        <v>-1865441.3069145745</v>
      </c>
      <c r="F459" s="531">
        <v>0</v>
      </c>
      <c r="G459" s="531">
        <v>0</v>
      </c>
      <c r="H459" s="531">
        <v>184598.59659993602</v>
      </c>
      <c r="I459" s="531">
        <v>-259430.30854620427</v>
      </c>
      <c r="J459" s="531">
        <v>0</v>
      </c>
      <c r="K459" s="531">
        <v>0</v>
      </c>
      <c r="L459" s="531">
        <v>0</v>
      </c>
      <c r="M459" s="531">
        <v>0</v>
      </c>
      <c r="N459" s="531">
        <v>0</v>
      </c>
      <c r="O459" s="531">
        <v>-1522.7486420287016</v>
      </c>
      <c r="P459" s="531">
        <v>0</v>
      </c>
      <c r="Q459" s="531">
        <v>0</v>
      </c>
      <c r="R459" s="531">
        <v>0</v>
      </c>
      <c r="S459" s="531">
        <v>1483149.1865527751</v>
      </c>
      <c r="T459" s="531">
        <v>0</v>
      </c>
      <c r="U459" s="531">
        <v>0</v>
      </c>
      <c r="V459" s="531">
        <v>0</v>
      </c>
      <c r="W459" s="531">
        <v>0</v>
      </c>
      <c r="X459" s="531">
        <v>0</v>
      </c>
      <c r="Y459" s="531">
        <v>0</v>
      </c>
      <c r="Z459" s="531">
        <v>-6512079.5518052932</v>
      </c>
      <c r="AA459" s="531">
        <v>0</v>
      </c>
      <c r="AB459" s="531">
        <v>0</v>
      </c>
      <c r="AC459" s="531">
        <v>1413394.9515225352</v>
      </c>
      <c r="AD459" s="531">
        <v>0</v>
      </c>
      <c r="AE459" s="530">
        <v>7125267.925121028</v>
      </c>
      <c r="AF459" s="531">
        <v>497104.17410000088</v>
      </c>
      <c r="AG459" s="531">
        <v>-8356860.595495401</v>
      </c>
      <c r="AH459" s="531">
        <v>-1812642.6048999983</v>
      </c>
      <c r="AI459" s="531">
        <v>-192576.32291440002</v>
      </c>
      <c r="AJ459" s="531">
        <v>-6593048.6901741503</v>
      </c>
      <c r="AK459" s="531">
        <v>0</v>
      </c>
      <c r="AL459" s="531">
        <v>0</v>
      </c>
      <c r="AM459" s="531">
        <v>0</v>
      </c>
      <c r="AN459" s="531">
        <v>0</v>
      </c>
      <c r="AO459" s="531">
        <v>-11163.933253252708</v>
      </c>
      <c r="AP459" s="531">
        <v>0</v>
      </c>
      <c r="AQ459" s="531">
        <v>4573331.9478821624</v>
      </c>
      <c r="AR459" s="531">
        <v>684799.57034431375</v>
      </c>
      <c r="AS459" s="531">
        <v>684799.57034431375</v>
      </c>
      <c r="AT459" s="531">
        <v>0</v>
      </c>
      <c r="AU459" s="531">
        <v>0</v>
      </c>
      <c r="AV459" s="531">
        <v>0</v>
      </c>
      <c r="AW459" s="531">
        <v>0</v>
      </c>
      <c r="AX459" s="531">
        <v>0</v>
      </c>
      <c r="AY459" s="531">
        <v>0</v>
      </c>
      <c r="AZ459" s="531">
        <v>0</v>
      </c>
      <c r="BB459" s="531">
        <v>-9643119.710522553</v>
      </c>
      <c r="BC459" s="532">
        <v>22890018.107015014</v>
      </c>
      <c r="BD459" s="444"/>
      <c r="BF459" s="336"/>
    </row>
    <row r="460" spans="2:58" x14ac:dyDescent="0.35">
      <c r="B460" s="533" t="s">
        <v>132</v>
      </c>
      <c r="C460" s="534" t="s">
        <v>942</v>
      </c>
      <c r="D460" s="535">
        <v>2866503992.9496732</v>
      </c>
      <c r="E460" s="536">
        <v>0</v>
      </c>
      <c r="F460" s="536">
        <v>0</v>
      </c>
      <c r="G460" s="536">
        <v>0</v>
      </c>
      <c r="H460" s="536">
        <v>0</v>
      </c>
      <c r="I460" s="536">
        <v>0</v>
      </c>
      <c r="J460" s="536">
        <v>0</v>
      </c>
      <c r="K460" s="536">
        <v>0</v>
      </c>
      <c r="L460" s="536">
        <v>0</v>
      </c>
      <c r="M460" s="536">
        <v>0</v>
      </c>
      <c r="N460" s="536">
        <v>0</v>
      </c>
      <c r="O460" s="536">
        <v>0</v>
      </c>
      <c r="P460" s="536">
        <v>0</v>
      </c>
      <c r="Q460" s="536">
        <v>0</v>
      </c>
      <c r="R460" s="536">
        <v>0</v>
      </c>
      <c r="S460" s="536">
        <v>0</v>
      </c>
      <c r="T460" s="536">
        <v>0</v>
      </c>
      <c r="U460" s="536">
        <v>0</v>
      </c>
      <c r="V460" s="536">
        <v>0</v>
      </c>
      <c r="W460" s="536">
        <v>0</v>
      </c>
      <c r="X460" s="536">
        <v>0</v>
      </c>
      <c r="Y460" s="536">
        <v>0</v>
      </c>
      <c r="Z460" s="536">
        <v>0</v>
      </c>
      <c r="AA460" s="536">
        <v>0</v>
      </c>
      <c r="AB460" s="536">
        <v>0</v>
      </c>
      <c r="AC460" s="536">
        <v>0</v>
      </c>
      <c r="AD460" s="536">
        <v>0</v>
      </c>
      <c r="AE460" s="535">
        <v>-212142643.35983646</v>
      </c>
      <c r="AF460" s="536">
        <v>1154341.1600000001</v>
      </c>
      <c r="AG460" s="536">
        <v>122407421.21765506</v>
      </c>
      <c r="AH460" s="536">
        <v>43611657.550000012</v>
      </c>
      <c r="AI460" s="536">
        <v>1774798.5898300002</v>
      </c>
      <c r="AJ460" s="536">
        <v>44104526.972805083</v>
      </c>
      <c r="AK460" s="536">
        <v>0</v>
      </c>
      <c r="AL460" s="536">
        <v>0</v>
      </c>
      <c r="AM460" s="536">
        <v>0</v>
      </c>
      <c r="AN460" s="536">
        <v>0</v>
      </c>
      <c r="AO460" s="536">
        <v>0</v>
      </c>
      <c r="AP460" s="536">
        <v>0</v>
      </c>
      <c r="AQ460" s="536">
        <v>-5437988.3141693044</v>
      </c>
      <c r="AR460" s="536">
        <v>1152189.4358550543</v>
      </c>
      <c r="AS460" s="536">
        <v>1152189.4358550543</v>
      </c>
      <c r="AT460" s="536">
        <v>0</v>
      </c>
      <c r="AU460" s="536">
        <v>0</v>
      </c>
      <c r="AV460" s="536">
        <v>0</v>
      </c>
      <c r="AW460" s="536">
        <v>0</v>
      </c>
      <c r="AX460" s="536">
        <v>0</v>
      </c>
      <c r="AY460" s="536">
        <v>0</v>
      </c>
      <c r="AZ460" s="536">
        <v>0</v>
      </c>
      <c r="BB460" s="536">
        <v>-3375696.7478605136</v>
      </c>
      <c r="BC460" s="537">
        <v>2863128296.2018123</v>
      </c>
      <c r="BD460" s="444"/>
      <c r="BF460" s="336"/>
    </row>
    <row r="461" spans="2:58" x14ac:dyDescent="0.35">
      <c r="B461" s="538" t="s">
        <v>187</v>
      </c>
      <c r="C461" s="539" t="s">
        <v>942</v>
      </c>
      <c r="D461" s="535">
        <v>247614954.45333406</v>
      </c>
      <c r="E461" s="536">
        <v>2473361.3805577131</v>
      </c>
      <c r="F461" s="536">
        <v>0</v>
      </c>
      <c r="G461" s="536">
        <v>0</v>
      </c>
      <c r="H461" s="536">
        <v>-244756.58282200919</v>
      </c>
      <c r="I461" s="536">
        <v>343974.85663360916</v>
      </c>
      <c r="J461" s="536">
        <v>0</v>
      </c>
      <c r="K461" s="536">
        <v>0</v>
      </c>
      <c r="L461" s="536">
        <v>0</v>
      </c>
      <c r="M461" s="536">
        <v>0</v>
      </c>
      <c r="N461" s="536">
        <v>0</v>
      </c>
      <c r="O461" s="536">
        <v>2018.9901818567189</v>
      </c>
      <c r="P461" s="536">
        <v>0</v>
      </c>
      <c r="Q461" s="536">
        <v>0</v>
      </c>
      <c r="R461" s="536">
        <v>0</v>
      </c>
      <c r="S461" s="536">
        <v>-1966485.8422657459</v>
      </c>
      <c r="T461" s="536">
        <v>0</v>
      </c>
      <c r="U461" s="536">
        <v>0</v>
      </c>
      <c r="V461" s="536">
        <v>0</v>
      </c>
      <c r="W461" s="536">
        <v>0</v>
      </c>
      <c r="X461" s="536">
        <v>0</v>
      </c>
      <c r="Y461" s="536">
        <v>0</v>
      </c>
      <c r="Z461" s="536">
        <v>8634271.1565635875</v>
      </c>
      <c r="AA461" s="536">
        <v>0</v>
      </c>
      <c r="AB461" s="536">
        <v>0</v>
      </c>
      <c r="AC461" s="536">
        <v>-1873999.7209310038</v>
      </c>
      <c r="AD461" s="536">
        <v>0</v>
      </c>
      <c r="AE461" s="535">
        <v>-31921307.547830597</v>
      </c>
      <c r="AF461" s="536">
        <v>-536814.28908809694</v>
      </c>
      <c r="AG461" s="536">
        <v>24047866.518856131</v>
      </c>
      <c r="AH461" s="536">
        <v>7023498.724027561</v>
      </c>
      <c r="AI461" s="536">
        <v>443353.17773867206</v>
      </c>
      <c r="AJ461" s="536">
        <v>13413983.046302937</v>
      </c>
      <c r="AK461" s="536">
        <v>0</v>
      </c>
      <c r="AL461" s="536">
        <v>0</v>
      </c>
      <c r="AM461" s="536">
        <v>0</v>
      </c>
      <c r="AN461" s="536">
        <v>0</v>
      </c>
      <c r="AO461" s="536">
        <v>14802.096030236429</v>
      </c>
      <c r="AP461" s="536">
        <v>0</v>
      </c>
      <c r="AQ461" s="536">
        <v>-6639804.954547707</v>
      </c>
      <c r="AR461" s="536">
        <v>-785904.82319914247</v>
      </c>
      <c r="AS461" s="536">
        <v>-785904.82319914247</v>
      </c>
      <c r="AT461" s="536">
        <v>0</v>
      </c>
      <c r="AU461" s="536">
        <v>0</v>
      </c>
      <c r="AV461" s="536">
        <v>0</v>
      </c>
      <c r="AW461" s="536">
        <v>0</v>
      </c>
      <c r="AX461" s="536">
        <v>0</v>
      </c>
      <c r="AY461" s="536">
        <v>0</v>
      </c>
      <c r="AZ461" s="536">
        <v>0</v>
      </c>
      <c r="BB461" s="536">
        <v>12428056.186208</v>
      </c>
      <c r="BC461" s="537">
        <v>260058228.31537458</v>
      </c>
      <c r="BD461" s="444"/>
      <c r="BF461" s="336"/>
    </row>
    <row r="462" spans="2:58" hidden="1" outlineLevel="1" x14ac:dyDescent="0.35">
      <c r="B462" s="528" t="s">
        <v>940</v>
      </c>
      <c r="C462" s="529" t="s">
        <v>943</v>
      </c>
      <c r="D462" s="530">
        <v>0</v>
      </c>
      <c r="E462" s="531">
        <v>0</v>
      </c>
      <c r="F462" s="531">
        <v>0</v>
      </c>
      <c r="G462" s="531">
        <v>0</v>
      </c>
      <c r="H462" s="531">
        <v>0</v>
      </c>
      <c r="I462" s="531">
        <v>0</v>
      </c>
      <c r="J462" s="531">
        <v>0</v>
      </c>
      <c r="K462" s="531">
        <v>0</v>
      </c>
      <c r="L462" s="531">
        <v>0</v>
      </c>
      <c r="M462" s="531">
        <v>0</v>
      </c>
      <c r="N462" s="531">
        <v>0</v>
      </c>
      <c r="O462" s="531">
        <v>0</v>
      </c>
      <c r="P462" s="531">
        <v>0</v>
      </c>
      <c r="Q462" s="531">
        <v>0</v>
      </c>
      <c r="R462" s="531">
        <v>0</v>
      </c>
      <c r="S462" s="531">
        <v>0</v>
      </c>
      <c r="T462" s="531">
        <v>0</v>
      </c>
      <c r="U462" s="531">
        <v>0</v>
      </c>
      <c r="V462" s="531">
        <v>0</v>
      </c>
      <c r="W462" s="531">
        <v>0</v>
      </c>
      <c r="X462" s="531">
        <v>0</v>
      </c>
      <c r="Y462" s="531">
        <v>0</v>
      </c>
      <c r="Z462" s="531">
        <v>0</v>
      </c>
      <c r="AA462" s="531">
        <v>0</v>
      </c>
      <c r="AB462" s="531">
        <v>0</v>
      </c>
      <c r="AC462" s="531">
        <v>0</v>
      </c>
      <c r="AD462" s="531">
        <v>0</v>
      </c>
      <c r="AE462" s="530">
        <v>0</v>
      </c>
      <c r="AF462" s="531">
        <v>0</v>
      </c>
      <c r="AG462" s="531">
        <v>0</v>
      </c>
      <c r="AH462" s="531">
        <v>0</v>
      </c>
      <c r="AI462" s="531">
        <v>0</v>
      </c>
      <c r="AJ462" s="531">
        <v>0</v>
      </c>
      <c r="AK462" s="531">
        <v>0</v>
      </c>
      <c r="AL462" s="531">
        <v>0</v>
      </c>
      <c r="AM462" s="531">
        <v>0</v>
      </c>
      <c r="AN462" s="531">
        <v>0</v>
      </c>
      <c r="AO462" s="531">
        <v>0</v>
      </c>
      <c r="AP462" s="531">
        <v>0</v>
      </c>
      <c r="AQ462" s="531">
        <v>0</v>
      </c>
      <c r="AR462" s="531">
        <v>0</v>
      </c>
      <c r="AS462" s="531">
        <v>0</v>
      </c>
      <c r="AT462" s="531">
        <v>0</v>
      </c>
      <c r="AU462" s="531">
        <v>0</v>
      </c>
      <c r="AV462" s="531">
        <v>0</v>
      </c>
      <c r="AW462" s="531">
        <v>0</v>
      </c>
      <c r="AX462" s="531">
        <v>0</v>
      </c>
      <c r="AY462" s="531">
        <v>0</v>
      </c>
      <c r="AZ462" s="531">
        <v>0</v>
      </c>
      <c r="BB462" s="531">
        <v>0</v>
      </c>
      <c r="BC462" s="532">
        <v>0</v>
      </c>
      <c r="BD462" s="444"/>
      <c r="BF462" s="336"/>
    </row>
    <row r="463" spans="2:58" hidden="1" outlineLevel="1" x14ac:dyDescent="0.35">
      <c r="B463" s="533" t="s">
        <v>132</v>
      </c>
      <c r="C463" s="534" t="s">
        <v>943</v>
      </c>
      <c r="D463" s="535">
        <v>0</v>
      </c>
      <c r="E463" s="536">
        <v>0</v>
      </c>
      <c r="F463" s="536">
        <v>0</v>
      </c>
      <c r="G463" s="536">
        <v>0</v>
      </c>
      <c r="H463" s="536">
        <v>0</v>
      </c>
      <c r="I463" s="536">
        <v>0</v>
      </c>
      <c r="J463" s="536">
        <v>0</v>
      </c>
      <c r="K463" s="536">
        <v>0</v>
      </c>
      <c r="L463" s="536">
        <v>0</v>
      </c>
      <c r="M463" s="536">
        <v>0</v>
      </c>
      <c r="N463" s="536">
        <v>0</v>
      </c>
      <c r="O463" s="536">
        <v>0</v>
      </c>
      <c r="P463" s="536">
        <v>0</v>
      </c>
      <c r="Q463" s="536">
        <v>0</v>
      </c>
      <c r="R463" s="536">
        <v>0</v>
      </c>
      <c r="S463" s="536">
        <v>0</v>
      </c>
      <c r="T463" s="536">
        <v>0</v>
      </c>
      <c r="U463" s="536">
        <v>0</v>
      </c>
      <c r="V463" s="536">
        <v>0</v>
      </c>
      <c r="W463" s="536">
        <v>0</v>
      </c>
      <c r="X463" s="536">
        <v>0</v>
      </c>
      <c r="Y463" s="536">
        <v>0</v>
      </c>
      <c r="Z463" s="536">
        <v>0</v>
      </c>
      <c r="AA463" s="536">
        <v>0</v>
      </c>
      <c r="AB463" s="536">
        <v>0</v>
      </c>
      <c r="AC463" s="536">
        <v>0</v>
      </c>
      <c r="AD463" s="536">
        <v>0</v>
      </c>
      <c r="AE463" s="535">
        <v>0</v>
      </c>
      <c r="AF463" s="536">
        <v>0</v>
      </c>
      <c r="AG463" s="536">
        <v>0</v>
      </c>
      <c r="AH463" s="536">
        <v>0</v>
      </c>
      <c r="AI463" s="536">
        <v>0</v>
      </c>
      <c r="AJ463" s="536">
        <v>0</v>
      </c>
      <c r="AK463" s="536">
        <v>0</v>
      </c>
      <c r="AL463" s="536">
        <v>0</v>
      </c>
      <c r="AM463" s="536">
        <v>0</v>
      </c>
      <c r="AN463" s="536">
        <v>0</v>
      </c>
      <c r="AO463" s="536">
        <v>0</v>
      </c>
      <c r="AP463" s="536">
        <v>0</v>
      </c>
      <c r="AQ463" s="536">
        <v>0</v>
      </c>
      <c r="AR463" s="536">
        <v>0</v>
      </c>
      <c r="AS463" s="536">
        <v>0</v>
      </c>
      <c r="AT463" s="536">
        <v>0</v>
      </c>
      <c r="AU463" s="536">
        <v>0</v>
      </c>
      <c r="AV463" s="536">
        <v>0</v>
      </c>
      <c r="AW463" s="536">
        <v>0</v>
      </c>
      <c r="AX463" s="536">
        <v>0</v>
      </c>
      <c r="AY463" s="536">
        <v>0</v>
      </c>
      <c r="AZ463" s="536">
        <v>0</v>
      </c>
      <c r="BB463" s="536">
        <v>0</v>
      </c>
      <c r="BC463" s="537">
        <v>0</v>
      </c>
      <c r="BD463" s="444"/>
      <c r="BF463" s="336"/>
    </row>
    <row r="464" spans="2:58" hidden="1" outlineLevel="1" x14ac:dyDescent="0.35">
      <c r="B464" s="538" t="s">
        <v>187</v>
      </c>
      <c r="C464" s="539" t="s">
        <v>943</v>
      </c>
      <c r="D464" s="535">
        <v>0</v>
      </c>
      <c r="E464" s="536">
        <v>0</v>
      </c>
      <c r="F464" s="536">
        <v>0</v>
      </c>
      <c r="G464" s="536">
        <v>0</v>
      </c>
      <c r="H464" s="536">
        <v>0</v>
      </c>
      <c r="I464" s="536">
        <v>0</v>
      </c>
      <c r="J464" s="536">
        <v>0</v>
      </c>
      <c r="K464" s="536">
        <v>0</v>
      </c>
      <c r="L464" s="536">
        <v>0</v>
      </c>
      <c r="M464" s="536">
        <v>0</v>
      </c>
      <c r="N464" s="536">
        <v>0</v>
      </c>
      <c r="O464" s="536">
        <v>0</v>
      </c>
      <c r="P464" s="536">
        <v>0</v>
      </c>
      <c r="Q464" s="536">
        <v>0</v>
      </c>
      <c r="R464" s="536">
        <v>0</v>
      </c>
      <c r="S464" s="536">
        <v>0</v>
      </c>
      <c r="T464" s="536">
        <v>0</v>
      </c>
      <c r="U464" s="536">
        <v>0</v>
      </c>
      <c r="V464" s="536">
        <v>0</v>
      </c>
      <c r="W464" s="536">
        <v>0</v>
      </c>
      <c r="X464" s="536">
        <v>0</v>
      </c>
      <c r="Y464" s="536">
        <v>0</v>
      </c>
      <c r="Z464" s="536">
        <v>0</v>
      </c>
      <c r="AA464" s="536">
        <v>0</v>
      </c>
      <c r="AB464" s="536">
        <v>0</v>
      </c>
      <c r="AC464" s="536">
        <v>0</v>
      </c>
      <c r="AD464" s="536">
        <v>0</v>
      </c>
      <c r="AE464" s="535">
        <v>0</v>
      </c>
      <c r="AF464" s="536">
        <v>0</v>
      </c>
      <c r="AG464" s="536">
        <v>0</v>
      </c>
      <c r="AH464" s="536">
        <v>0</v>
      </c>
      <c r="AI464" s="536">
        <v>0</v>
      </c>
      <c r="AJ464" s="536">
        <v>0</v>
      </c>
      <c r="AK464" s="536">
        <v>0</v>
      </c>
      <c r="AL464" s="536">
        <v>0</v>
      </c>
      <c r="AM464" s="536">
        <v>0</v>
      </c>
      <c r="AN464" s="536">
        <v>0</v>
      </c>
      <c r="AO464" s="536">
        <v>0</v>
      </c>
      <c r="AP464" s="536">
        <v>0</v>
      </c>
      <c r="AQ464" s="536">
        <v>0</v>
      </c>
      <c r="AR464" s="536">
        <v>0</v>
      </c>
      <c r="AS464" s="536">
        <v>0</v>
      </c>
      <c r="AT464" s="536">
        <v>0</v>
      </c>
      <c r="AU464" s="536">
        <v>0</v>
      </c>
      <c r="AV464" s="536">
        <v>0</v>
      </c>
      <c r="AW464" s="536">
        <v>0</v>
      </c>
      <c r="AX464" s="536">
        <v>0</v>
      </c>
      <c r="AY464" s="536">
        <v>0</v>
      </c>
      <c r="AZ464" s="536">
        <v>0</v>
      </c>
      <c r="BB464" s="536">
        <v>0</v>
      </c>
      <c r="BC464" s="537">
        <v>0</v>
      </c>
      <c r="BD464" s="444"/>
      <c r="BF464" s="336"/>
    </row>
    <row r="465" spans="2:58" hidden="1" outlineLevel="1" x14ac:dyDescent="0.35">
      <c r="B465" s="528" t="s">
        <v>940</v>
      </c>
      <c r="C465" s="529" t="s">
        <v>944</v>
      </c>
      <c r="D465" s="530">
        <v>0</v>
      </c>
      <c r="E465" s="531">
        <v>0</v>
      </c>
      <c r="F465" s="531">
        <v>0</v>
      </c>
      <c r="G465" s="531">
        <v>0</v>
      </c>
      <c r="H465" s="531">
        <v>0</v>
      </c>
      <c r="I465" s="531">
        <v>0</v>
      </c>
      <c r="J465" s="531">
        <v>0</v>
      </c>
      <c r="K465" s="531">
        <v>0</v>
      </c>
      <c r="L465" s="531">
        <v>0</v>
      </c>
      <c r="M465" s="531">
        <v>0</v>
      </c>
      <c r="N465" s="531">
        <v>0</v>
      </c>
      <c r="O465" s="531">
        <v>0</v>
      </c>
      <c r="P465" s="531">
        <v>0</v>
      </c>
      <c r="Q465" s="531">
        <v>0</v>
      </c>
      <c r="R465" s="531">
        <v>0</v>
      </c>
      <c r="S465" s="531">
        <v>0</v>
      </c>
      <c r="T465" s="531">
        <v>0</v>
      </c>
      <c r="U465" s="531">
        <v>0</v>
      </c>
      <c r="V465" s="531">
        <v>0</v>
      </c>
      <c r="W465" s="531">
        <v>0</v>
      </c>
      <c r="X465" s="531">
        <v>0</v>
      </c>
      <c r="Y465" s="531">
        <v>0</v>
      </c>
      <c r="Z465" s="531">
        <v>0</v>
      </c>
      <c r="AA465" s="531">
        <v>0</v>
      </c>
      <c r="AB465" s="531">
        <v>0</v>
      </c>
      <c r="AC465" s="531">
        <v>0</v>
      </c>
      <c r="AD465" s="531">
        <v>0</v>
      </c>
      <c r="AE465" s="530">
        <v>0</v>
      </c>
      <c r="AF465" s="531">
        <v>0</v>
      </c>
      <c r="AG465" s="531">
        <v>0</v>
      </c>
      <c r="AH465" s="531">
        <v>0</v>
      </c>
      <c r="AI465" s="531">
        <v>0</v>
      </c>
      <c r="AJ465" s="531">
        <v>0</v>
      </c>
      <c r="AK465" s="531">
        <v>0</v>
      </c>
      <c r="AL465" s="531">
        <v>0</v>
      </c>
      <c r="AM465" s="531">
        <v>0</v>
      </c>
      <c r="AN465" s="531">
        <v>0</v>
      </c>
      <c r="AO465" s="531">
        <v>0</v>
      </c>
      <c r="AP465" s="531">
        <v>0</v>
      </c>
      <c r="AQ465" s="531">
        <v>0</v>
      </c>
      <c r="AR465" s="531">
        <v>0</v>
      </c>
      <c r="AS465" s="531">
        <v>0</v>
      </c>
      <c r="AT465" s="531">
        <v>0</v>
      </c>
      <c r="AU465" s="531">
        <v>0</v>
      </c>
      <c r="AV465" s="531">
        <v>0</v>
      </c>
      <c r="AW465" s="531">
        <v>0</v>
      </c>
      <c r="AX465" s="531">
        <v>0</v>
      </c>
      <c r="AY465" s="531">
        <v>0</v>
      </c>
      <c r="AZ465" s="531">
        <v>0</v>
      </c>
      <c r="BB465" s="531">
        <v>0</v>
      </c>
      <c r="BC465" s="532">
        <v>0</v>
      </c>
      <c r="BD465" s="444"/>
      <c r="BF465" s="336"/>
    </row>
    <row r="466" spans="2:58" hidden="1" outlineLevel="1" x14ac:dyDescent="0.35">
      <c r="B466" s="533" t="s">
        <v>132</v>
      </c>
      <c r="C466" s="534" t="s">
        <v>944</v>
      </c>
      <c r="D466" s="535">
        <v>0</v>
      </c>
      <c r="E466" s="536">
        <v>0</v>
      </c>
      <c r="F466" s="536">
        <v>0</v>
      </c>
      <c r="G466" s="536">
        <v>0</v>
      </c>
      <c r="H466" s="536">
        <v>0</v>
      </c>
      <c r="I466" s="536">
        <v>0</v>
      </c>
      <c r="J466" s="536">
        <v>0</v>
      </c>
      <c r="K466" s="536">
        <v>0</v>
      </c>
      <c r="L466" s="536">
        <v>0</v>
      </c>
      <c r="M466" s="536">
        <v>0</v>
      </c>
      <c r="N466" s="536">
        <v>0</v>
      </c>
      <c r="O466" s="536">
        <v>0</v>
      </c>
      <c r="P466" s="536">
        <v>0</v>
      </c>
      <c r="Q466" s="536">
        <v>0</v>
      </c>
      <c r="R466" s="536">
        <v>0</v>
      </c>
      <c r="S466" s="536">
        <v>0</v>
      </c>
      <c r="T466" s="536">
        <v>0</v>
      </c>
      <c r="U466" s="536">
        <v>0</v>
      </c>
      <c r="V466" s="536">
        <v>0</v>
      </c>
      <c r="W466" s="536">
        <v>0</v>
      </c>
      <c r="X466" s="536">
        <v>0</v>
      </c>
      <c r="Y466" s="536">
        <v>0</v>
      </c>
      <c r="Z466" s="536">
        <v>0</v>
      </c>
      <c r="AA466" s="536">
        <v>0</v>
      </c>
      <c r="AB466" s="536">
        <v>0</v>
      </c>
      <c r="AC466" s="536">
        <v>0</v>
      </c>
      <c r="AD466" s="536">
        <v>0</v>
      </c>
      <c r="AE466" s="535">
        <v>0</v>
      </c>
      <c r="AF466" s="536">
        <v>0</v>
      </c>
      <c r="AG466" s="536">
        <v>0</v>
      </c>
      <c r="AH466" s="536">
        <v>0</v>
      </c>
      <c r="AI466" s="536">
        <v>0</v>
      </c>
      <c r="AJ466" s="536">
        <v>0</v>
      </c>
      <c r="AK466" s="536">
        <v>0</v>
      </c>
      <c r="AL466" s="536">
        <v>0</v>
      </c>
      <c r="AM466" s="536">
        <v>0</v>
      </c>
      <c r="AN466" s="536">
        <v>0</v>
      </c>
      <c r="AO466" s="536">
        <v>0</v>
      </c>
      <c r="AP466" s="536">
        <v>0</v>
      </c>
      <c r="AQ466" s="536">
        <v>0</v>
      </c>
      <c r="AR466" s="536">
        <v>0</v>
      </c>
      <c r="AS466" s="536">
        <v>0</v>
      </c>
      <c r="AT466" s="536">
        <v>0</v>
      </c>
      <c r="AU466" s="536">
        <v>0</v>
      </c>
      <c r="AV466" s="536">
        <v>0</v>
      </c>
      <c r="AW466" s="536">
        <v>0</v>
      </c>
      <c r="AX466" s="536">
        <v>0</v>
      </c>
      <c r="AY466" s="536">
        <v>0</v>
      </c>
      <c r="AZ466" s="536">
        <v>0</v>
      </c>
      <c r="BB466" s="536">
        <v>0</v>
      </c>
      <c r="BC466" s="537">
        <v>0</v>
      </c>
      <c r="BD466" s="444"/>
      <c r="BF466" s="336"/>
    </row>
    <row r="467" spans="2:58" hidden="1" outlineLevel="1" x14ac:dyDescent="0.35">
      <c r="B467" s="538" t="s">
        <v>187</v>
      </c>
      <c r="C467" s="539" t="s">
        <v>944</v>
      </c>
      <c r="D467" s="535">
        <v>0</v>
      </c>
      <c r="E467" s="536">
        <v>0</v>
      </c>
      <c r="F467" s="536">
        <v>0</v>
      </c>
      <c r="G467" s="536">
        <v>0</v>
      </c>
      <c r="H467" s="536">
        <v>0</v>
      </c>
      <c r="I467" s="536">
        <v>0</v>
      </c>
      <c r="J467" s="536">
        <v>0</v>
      </c>
      <c r="K467" s="536">
        <v>0</v>
      </c>
      <c r="L467" s="536">
        <v>0</v>
      </c>
      <c r="M467" s="536">
        <v>0</v>
      </c>
      <c r="N467" s="536">
        <v>0</v>
      </c>
      <c r="O467" s="536">
        <v>0</v>
      </c>
      <c r="P467" s="536">
        <v>0</v>
      </c>
      <c r="Q467" s="536">
        <v>0</v>
      </c>
      <c r="R467" s="536">
        <v>0</v>
      </c>
      <c r="S467" s="536">
        <v>0</v>
      </c>
      <c r="T467" s="536">
        <v>0</v>
      </c>
      <c r="U467" s="536">
        <v>0</v>
      </c>
      <c r="V467" s="536">
        <v>0</v>
      </c>
      <c r="W467" s="536">
        <v>0</v>
      </c>
      <c r="X467" s="536">
        <v>0</v>
      </c>
      <c r="Y467" s="536">
        <v>0</v>
      </c>
      <c r="Z467" s="536">
        <v>0</v>
      </c>
      <c r="AA467" s="536">
        <v>0</v>
      </c>
      <c r="AB467" s="536">
        <v>0</v>
      </c>
      <c r="AC467" s="536">
        <v>0</v>
      </c>
      <c r="AD467" s="536">
        <v>0</v>
      </c>
      <c r="AE467" s="535">
        <v>0</v>
      </c>
      <c r="AF467" s="536">
        <v>0</v>
      </c>
      <c r="AG467" s="536">
        <v>0</v>
      </c>
      <c r="AH467" s="536">
        <v>0</v>
      </c>
      <c r="AI467" s="536">
        <v>0</v>
      </c>
      <c r="AJ467" s="536">
        <v>0</v>
      </c>
      <c r="AK467" s="536">
        <v>0</v>
      </c>
      <c r="AL467" s="536">
        <v>0</v>
      </c>
      <c r="AM467" s="536">
        <v>0</v>
      </c>
      <c r="AN467" s="536">
        <v>0</v>
      </c>
      <c r="AO467" s="536">
        <v>0</v>
      </c>
      <c r="AP467" s="536">
        <v>0</v>
      </c>
      <c r="AQ467" s="536">
        <v>0</v>
      </c>
      <c r="AR467" s="536">
        <v>0</v>
      </c>
      <c r="AS467" s="536">
        <v>0</v>
      </c>
      <c r="AT467" s="536">
        <v>0</v>
      </c>
      <c r="AU467" s="536">
        <v>0</v>
      </c>
      <c r="AV467" s="536">
        <v>0</v>
      </c>
      <c r="AW467" s="536">
        <v>0</v>
      </c>
      <c r="AX467" s="536">
        <v>0</v>
      </c>
      <c r="AY467" s="536">
        <v>0</v>
      </c>
      <c r="AZ467" s="536">
        <v>0</v>
      </c>
      <c r="BB467" s="536">
        <v>0</v>
      </c>
      <c r="BC467" s="537">
        <v>0</v>
      </c>
      <c r="BD467" s="444"/>
      <c r="BF467" s="336"/>
    </row>
    <row r="468" spans="2:58" collapsed="1" x14ac:dyDescent="0.35">
      <c r="B468" s="526" t="s">
        <v>951</v>
      </c>
      <c r="C468" s="527"/>
      <c r="D468" s="798"/>
      <c r="E468" s="527"/>
      <c r="F468" s="527"/>
      <c r="G468" s="527"/>
      <c r="H468" s="527"/>
      <c r="I468" s="527"/>
      <c r="J468" s="527"/>
      <c r="K468" s="527"/>
      <c r="L468" s="527"/>
      <c r="M468" s="527"/>
      <c r="N468" s="527"/>
      <c r="O468" s="527"/>
      <c r="P468" s="527"/>
      <c r="Q468" s="527"/>
      <c r="R468" s="527"/>
      <c r="S468" s="527"/>
      <c r="T468" s="527"/>
      <c r="U468" s="527"/>
      <c r="V468" s="527"/>
      <c r="W468" s="527"/>
      <c r="X468" s="527"/>
      <c r="Y468" s="527"/>
      <c r="Z468" s="527"/>
      <c r="AA468" s="527"/>
      <c r="AB468" s="527"/>
      <c r="AC468" s="527"/>
      <c r="AD468" s="527"/>
      <c r="AE468" s="527"/>
      <c r="AF468" s="527"/>
      <c r="AG468" s="527"/>
      <c r="AH468" s="527"/>
      <c r="AI468" s="527"/>
      <c r="AJ468" s="527"/>
      <c r="AK468" s="527"/>
      <c r="AL468" s="527"/>
      <c r="AM468" s="527"/>
      <c r="AN468" s="527"/>
      <c r="AO468" s="527"/>
      <c r="AP468" s="527"/>
      <c r="AQ468" s="527"/>
      <c r="AR468" s="527"/>
      <c r="AS468" s="527"/>
      <c r="AT468" s="527"/>
      <c r="AU468" s="527"/>
      <c r="AV468" s="527"/>
      <c r="AW468" s="527"/>
      <c r="AX468" s="527"/>
      <c r="AY468" s="527"/>
      <c r="AZ468" s="527"/>
      <c r="BB468" s="527"/>
      <c r="BC468" s="527"/>
      <c r="BD468" s="444"/>
      <c r="BF468" s="336"/>
    </row>
    <row r="469" spans="2:58" x14ac:dyDescent="0.35">
      <c r="B469" s="540" t="s">
        <v>940</v>
      </c>
      <c r="C469" s="541" t="s">
        <v>892</v>
      </c>
      <c r="D469" s="799">
        <f>+D47</f>
        <v>182074206.58999991</v>
      </c>
      <c r="E469" s="542">
        <f t="shared" ref="E469:BC469" si="317">+E47</f>
        <v>32253615.866947763</v>
      </c>
      <c r="F469" s="542">
        <f t="shared" si="317"/>
        <v>2084412.2876831293</v>
      </c>
      <c r="G469" s="542">
        <f t="shared" si="317"/>
        <v>-68328.809286971111</v>
      </c>
      <c r="H469" s="542">
        <f t="shared" si="317"/>
        <v>-2391601.7753268979</v>
      </c>
      <c r="I469" s="542">
        <f t="shared" si="317"/>
        <v>16074542.57656165</v>
      </c>
      <c r="J469" s="542">
        <f t="shared" si="317"/>
        <v>213041.17074922178</v>
      </c>
      <c r="K469" s="542">
        <f t="shared" si="317"/>
        <v>-183413.51902969996</v>
      </c>
      <c r="L469" s="542">
        <f t="shared" si="317"/>
        <v>-678.41161519914863</v>
      </c>
      <c r="M469" s="542">
        <f t="shared" si="317"/>
        <v>13658.449104713156</v>
      </c>
      <c r="N469" s="542">
        <f t="shared" si="317"/>
        <v>18993.65433911428</v>
      </c>
      <c r="O469" s="542">
        <f t="shared" si="317"/>
        <v>1105216.3354017462</v>
      </c>
      <c r="P469" s="542">
        <f t="shared" si="317"/>
        <v>-151116.36784572125</v>
      </c>
      <c r="Q469" s="542">
        <f t="shared" si="317"/>
        <v>-30503.742766919091</v>
      </c>
      <c r="R469" s="542">
        <f t="shared" si="317"/>
        <v>-435005.0623120963</v>
      </c>
      <c r="S469" s="542">
        <f t="shared" si="317"/>
        <v>-778045.66996666696</v>
      </c>
      <c r="T469" s="542">
        <f t="shared" si="317"/>
        <v>13098.494505843493</v>
      </c>
      <c r="U469" s="542">
        <f t="shared" si="317"/>
        <v>-1117190.4516966809</v>
      </c>
      <c r="V469" s="542">
        <f t="shared" si="317"/>
        <v>-2924834.9278341117</v>
      </c>
      <c r="W469" s="542">
        <f t="shared" si="317"/>
        <v>0</v>
      </c>
      <c r="X469" s="542">
        <f t="shared" si="317"/>
        <v>-6824350.6486586146</v>
      </c>
      <c r="Y469" s="542">
        <f t="shared" si="317"/>
        <v>14420.256752399737</v>
      </c>
      <c r="Z469" s="542">
        <f t="shared" si="317"/>
        <v>0</v>
      </c>
      <c r="AA469" s="542">
        <f t="shared" si="317"/>
        <v>0</v>
      </c>
      <c r="AB469" s="542">
        <f t="shared" si="317"/>
        <v>-2899321.94739606</v>
      </c>
      <c r="AC469" s="542">
        <f t="shared" si="317"/>
        <v>-267705.11489864736</v>
      </c>
      <c r="AD469" s="542">
        <f t="shared" ref="AD469" si="318">+AD47</f>
        <v>0</v>
      </c>
      <c r="AE469" s="542">
        <f t="shared" si="317"/>
        <v>0</v>
      </c>
      <c r="AF469" s="542">
        <f t="shared" si="317"/>
        <v>0</v>
      </c>
      <c r="AG469" s="542">
        <f t="shared" si="317"/>
        <v>0</v>
      </c>
      <c r="AH469" s="542">
        <f t="shared" si="317"/>
        <v>0</v>
      </c>
      <c r="AI469" s="542">
        <f t="shared" si="317"/>
        <v>0</v>
      </c>
      <c r="AJ469" s="542">
        <f t="shared" ref="AJ469" si="319">+AJ47</f>
        <v>0</v>
      </c>
      <c r="AK469" s="542">
        <f t="shared" ref="AK469:AL469" si="320">+AK47</f>
        <v>-1702914.1352699972</v>
      </c>
      <c r="AL469" s="542">
        <f t="shared" si="320"/>
        <v>-1275792.7171000002</v>
      </c>
      <c r="AM469" s="542">
        <f t="shared" ref="AM469:AO469" si="321">+AM47</f>
        <v>69091.03</v>
      </c>
      <c r="AN469" s="542">
        <f t="shared" si="321"/>
        <v>0</v>
      </c>
      <c r="AO469" s="542">
        <f t="shared" si="321"/>
        <v>0</v>
      </c>
      <c r="AP469" s="542">
        <f t="shared" si="317"/>
        <v>0</v>
      </c>
      <c r="AQ469" s="542">
        <f t="shared" si="317"/>
        <v>0</v>
      </c>
      <c r="AR469" s="542">
        <f t="shared" si="317"/>
        <v>662617.10414054128</v>
      </c>
      <c r="AS469" s="542">
        <f>+AS47</f>
        <v>0</v>
      </c>
      <c r="AT469" s="542">
        <f t="shared" ref="AT469:AZ469" si="322">+AT47</f>
        <v>0</v>
      </c>
      <c r="AU469" s="542">
        <f t="shared" si="322"/>
        <v>0</v>
      </c>
      <c r="AV469" s="542">
        <f t="shared" si="322"/>
        <v>0</v>
      </c>
      <c r="AW469" s="542">
        <f t="shared" si="322"/>
        <v>0</v>
      </c>
      <c r="AX469" s="542">
        <f t="shared" si="322"/>
        <v>0</v>
      </c>
      <c r="AY469" s="542">
        <f t="shared" si="322"/>
        <v>0</v>
      </c>
      <c r="AZ469" s="542">
        <f t="shared" si="322"/>
        <v>0</v>
      </c>
      <c r="BB469" s="542">
        <f t="shared" si="317"/>
        <v>31471903.925181746</v>
      </c>
      <c r="BC469" s="542">
        <f t="shared" si="317"/>
        <v>213546110.51518196</v>
      </c>
      <c r="BD469" s="444"/>
      <c r="BF469" s="336"/>
    </row>
    <row r="470" spans="2:58" x14ac:dyDescent="0.35">
      <c r="B470" s="543" t="s">
        <v>132</v>
      </c>
      <c r="C470" s="544" t="s">
        <v>892</v>
      </c>
      <c r="D470" s="800">
        <f>+D49</f>
        <v>2948894387.0453196</v>
      </c>
      <c r="E470" s="544">
        <f t="shared" ref="E470:BC470" si="323">+E49</f>
        <v>0</v>
      </c>
      <c r="F470" s="544">
        <f t="shared" si="323"/>
        <v>0</v>
      </c>
      <c r="G470" s="544">
        <f t="shared" si="323"/>
        <v>0</v>
      </c>
      <c r="H470" s="544">
        <f t="shared" si="323"/>
        <v>0</v>
      </c>
      <c r="I470" s="544">
        <f t="shared" si="323"/>
        <v>0</v>
      </c>
      <c r="J470" s="544">
        <f t="shared" si="323"/>
        <v>0</v>
      </c>
      <c r="K470" s="544">
        <f t="shared" si="323"/>
        <v>0</v>
      </c>
      <c r="L470" s="544">
        <f t="shared" si="323"/>
        <v>0</v>
      </c>
      <c r="M470" s="544">
        <f t="shared" si="323"/>
        <v>0</v>
      </c>
      <c r="N470" s="544">
        <f t="shared" si="323"/>
        <v>0</v>
      </c>
      <c r="O470" s="544">
        <f t="shared" si="323"/>
        <v>0</v>
      </c>
      <c r="P470" s="544">
        <f t="shared" si="323"/>
        <v>0</v>
      </c>
      <c r="Q470" s="544">
        <f t="shared" si="323"/>
        <v>0</v>
      </c>
      <c r="R470" s="544">
        <f t="shared" si="323"/>
        <v>0</v>
      </c>
      <c r="S470" s="544">
        <f t="shared" si="323"/>
        <v>0</v>
      </c>
      <c r="T470" s="544">
        <f t="shared" si="323"/>
        <v>0</v>
      </c>
      <c r="U470" s="544">
        <f t="shared" si="323"/>
        <v>0</v>
      </c>
      <c r="V470" s="544">
        <f t="shared" si="323"/>
        <v>0</v>
      </c>
      <c r="W470" s="544">
        <f t="shared" si="323"/>
        <v>50455434.08198075</v>
      </c>
      <c r="X470" s="544">
        <f t="shared" si="323"/>
        <v>-6824350.6486586146</v>
      </c>
      <c r="Y470" s="544">
        <f t="shared" si="323"/>
        <v>0</v>
      </c>
      <c r="Z470" s="544">
        <f t="shared" si="323"/>
        <v>0</v>
      </c>
      <c r="AA470" s="544">
        <f t="shared" si="323"/>
        <v>0</v>
      </c>
      <c r="AB470" s="544">
        <f t="shared" si="323"/>
        <v>-57834387.276298791</v>
      </c>
      <c r="AC470" s="544">
        <f t="shared" si="323"/>
        <v>0</v>
      </c>
      <c r="AD470" s="544">
        <f t="shared" ref="AD470" si="324">+AD49</f>
        <v>0</v>
      </c>
      <c r="AE470" s="544">
        <f t="shared" si="323"/>
        <v>0</v>
      </c>
      <c r="AF470" s="544">
        <f t="shared" si="323"/>
        <v>0</v>
      </c>
      <c r="AG470" s="544">
        <f t="shared" si="323"/>
        <v>0</v>
      </c>
      <c r="AH470" s="544">
        <f t="shared" si="323"/>
        <v>0</v>
      </c>
      <c r="AI470" s="544">
        <f t="shared" si="323"/>
        <v>0</v>
      </c>
      <c r="AJ470" s="544">
        <f t="shared" ref="AJ470" si="325">+AJ49</f>
        <v>0</v>
      </c>
      <c r="AK470" s="544">
        <f t="shared" ref="AK470:AL470" si="326">+AK49</f>
        <v>0</v>
      </c>
      <c r="AL470" s="544">
        <f t="shared" si="326"/>
        <v>0</v>
      </c>
      <c r="AM470" s="544">
        <f t="shared" ref="AM470:AO470" si="327">+AM49</f>
        <v>0</v>
      </c>
      <c r="AN470" s="544">
        <f t="shared" si="327"/>
        <v>0</v>
      </c>
      <c r="AO470" s="544">
        <f t="shared" si="327"/>
        <v>0</v>
      </c>
      <c r="AP470" s="544">
        <f t="shared" si="323"/>
        <v>0</v>
      </c>
      <c r="AQ470" s="544">
        <f t="shared" si="323"/>
        <v>0</v>
      </c>
      <c r="AR470" s="544">
        <f t="shared" si="323"/>
        <v>-24218047.431628965</v>
      </c>
      <c r="AS470" s="544">
        <f>+AS49</f>
        <v>0</v>
      </c>
      <c r="AT470" s="544">
        <f t="shared" ref="AT470:AZ470" si="328">+AT49</f>
        <v>0</v>
      </c>
      <c r="AU470" s="544">
        <f t="shared" si="328"/>
        <v>0</v>
      </c>
      <c r="AV470" s="544">
        <f t="shared" si="328"/>
        <v>0</v>
      </c>
      <c r="AW470" s="544">
        <f t="shared" si="328"/>
        <v>0</v>
      </c>
      <c r="AX470" s="544">
        <f t="shared" si="328"/>
        <v>0</v>
      </c>
      <c r="AY470" s="544">
        <f t="shared" si="328"/>
        <v>0</v>
      </c>
      <c r="AZ470" s="544">
        <f t="shared" si="328"/>
        <v>0</v>
      </c>
      <c r="BB470" s="544">
        <f t="shared" si="323"/>
        <v>-38421351.274605609</v>
      </c>
      <c r="BC470" s="544">
        <f t="shared" si="323"/>
        <v>2910473035.7707138</v>
      </c>
      <c r="BD470" s="444"/>
      <c r="BF470" s="336"/>
    </row>
    <row r="471" spans="2:58" x14ac:dyDescent="0.35">
      <c r="B471" s="545" t="s">
        <v>187</v>
      </c>
      <c r="C471" s="544" t="s">
        <v>892</v>
      </c>
      <c r="D471" s="800">
        <f>+D65</f>
        <v>46261066.750187926</v>
      </c>
      <c r="E471" s="544">
        <f t="shared" ref="E471:BC471" si="329">+E65</f>
        <v>-42764598.153237559</v>
      </c>
      <c r="F471" s="544">
        <f t="shared" si="329"/>
        <v>-2763691.8054755479</v>
      </c>
      <c r="G471" s="544">
        <f t="shared" si="329"/>
        <v>90596.170162767157</v>
      </c>
      <c r="H471" s="544">
        <f t="shared" si="329"/>
        <v>3170989.8600619426</v>
      </c>
      <c r="I471" s="544">
        <f t="shared" si="329"/>
        <v>-21313001.203322735</v>
      </c>
      <c r="J471" s="544">
        <f t="shared" si="329"/>
        <v>-282468.17642923386</v>
      </c>
      <c r="K471" s="544">
        <f t="shared" si="329"/>
        <v>243185.30578192096</v>
      </c>
      <c r="L471" s="544">
        <f t="shared" si="329"/>
        <v>899.49605111440485</v>
      </c>
      <c r="M471" s="544">
        <f t="shared" si="329"/>
        <v>-18109.53816059012</v>
      </c>
      <c r="N471" s="544">
        <f t="shared" si="329"/>
        <v>-25183.408850171345</v>
      </c>
      <c r="O471" s="544">
        <f t="shared" si="329"/>
        <v>-1465390.1953450101</v>
      </c>
      <c r="P471" s="544">
        <f t="shared" si="329"/>
        <v>200362.98478774729</v>
      </c>
      <c r="Q471" s="544">
        <f t="shared" si="329"/>
        <v>40444.466970098751</v>
      </c>
      <c r="R471" s="544">
        <f t="shared" si="329"/>
        <v>576766.85805216338</v>
      </c>
      <c r="S471" s="544">
        <f t="shared" si="329"/>
        <v>1031599.388987815</v>
      </c>
      <c r="T471" s="544">
        <f t="shared" si="329"/>
        <v>-17367.102537139366</v>
      </c>
      <c r="U471" s="544">
        <f t="shared" si="329"/>
        <v>1481266.5012359649</v>
      </c>
      <c r="V471" s="544">
        <f t="shared" si="329"/>
        <v>3877995.9080977277</v>
      </c>
      <c r="W471" s="544">
        <f t="shared" si="329"/>
        <v>4922029.4036057899</v>
      </c>
      <c r="X471" s="544">
        <f t="shared" si="329"/>
        <v>8382577.6666320479</v>
      </c>
      <c r="Y471" s="544">
        <f t="shared" si="329"/>
        <v>-19119.607793023639</v>
      </c>
      <c r="Z471" s="544">
        <f t="shared" si="329"/>
        <v>0</v>
      </c>
      <c r="AA471" s="544">
        <f t="shared" si="329"/>
        <v>0</v>
      </c>
      <c r="AB471" s="544">
        <f t="shared" si="329"/>
        <v>-1797692.5569535706</v>
      </c>
      <c r="AC471" s="544">
        <f t="shared" si="329"/>
        <v>354946.30150719668</v>
      </c>
      <c r="AD471" s="544">
        <f t="shared" ref="AD471" si="330">+AD65</f>
        <v>0</v>
      </c>
      <c r="AE471" s="544">
        <f t="shared" si="329"/>
        <v>0</v>
      </c>
      <c r="AF471" s="544">
        <f t="shared" si="329"/>
        <v>0</v>
      </c>
      <c r="AG471" s="544">
        <f t="shared" si="329"/>
        <v>0</v>
      </c>
      <c r="AH471" s="544">
        <f t="shared" si="329"/>
        <v>0</v>
      </c>
      <c r="AI471" s="544">
        <f t="shared" si="329"/>
        <v>0</v>
      </c>
      <c r="AJ471" s="544">
        <f t="shared" ref="AJ471" si="331">+AJ65</f>
        <v>0</v>
      </c>
      <c r="AK471" s="544">
        <f t="shared" ref="AK471:AL471" si="332">+AK65</f>
        <v>2257868.9776893225</v>
      </c>
      <c r="AL471" s="544">
        <f t="shared" si="332"/>
        <v>1691554.9282497123</v>
      </c>
      <c r="AM471" s="544">
        <f t="shared" ref="AM471:AO471" si="333">+AM65</f>
        <v>-91606.787472504453</v>
      </c>
      <c r="AN471" s="544">
        <f t="shared" si="333"/>
        <v>0</v>
      </c>
      <c r="AO471" s="544">
        <f t="shared" si="333"/>
        <v>0</v>
      </c>
      <c r="AP471" s="544">
        <f t="shared" si="329"/>
        <v>0</v>
      </c>
      <c r="AQ471" s="544">
        <f t="shared" si="329"/>
        <v>0</v>
      </c>
      <c r="AR471" s="544">
        <f t="shared" si="329"/>
        <v>-3241073.7337100296</v>
      </c>
      <c r="AS471" s="544">
        <f>+AS65</f>
        <v>0</v>
      </c>
      <c r="AT471" s="544">
        <f t="shared" ref="AT471:AZ471" si="334">+AT65</f>
        <v>0</v>
      </c>
      <c r="AU471" s="544">
        <f t="shared" si="334"/>
        <v>0</v>
      </c>
      <c r="AV471" s="544">
        <f t="shared" si="334"/>
        <v>0</v>
      </c>
      <c r="AW471" s="544">
        <f t="shared" si="334"/>
        <v>0</v>
      </c>
      <c r="AX471" s="544">
        <f t="shared" si="334"/>
        <v>0</v>
      </c>
      <c r="AY471" s="544">
        <f t="shared" si="334"/>
        <v>0</v>
      </c>
      <c r="AZ471" s="544">
        <f t="shared" si="334"/>
        <v>0</v>
      </c>
      <c r="BB471" s="544">
        <f t="shared" si="329"/>
        <v>-45476218.051413797</v>
      </c>
      <c r="BC471" s="544">
        <f t="shared" si="329"/>
        <v>784848.69877383497</v>
      </c>
      <c r="BD471" s="444"/>
      <c r="BF471" s="336"/>
    </row>
    <row r="472" spans="2:58" x14ac:dyDescent="0.35">
      <c r="B472" s="540" t="s">
        <v>940</v>
      </c>
      <c r="C472" s="795">
        <v>45291</v>
      </c>
      <c r="D472" s="799">
        <f>+D108</f>
        <v>213546110.51518196</v>
      </c>
      <c r="E472" s="542">
        <f t="shared" ref="E472:BC472" si="335">+E108</f>
        <v>-44024033.448781371</v>
      </c>
      <c r="F472" s="542">
        <f t="shared" si="335"/>
        <v>0</v>
      </c>
      <c r="G472" s="542">
        <f t="shared" si="335"/>
        <v>-17690711.461626638</v>
      </c>
      <c r="H472" s="542">
        <f t="shared" si="335"/>
        <v>133104.75165847223</v>
      </c>
      <c r="I472" s="542">
        <f t="shared" si="335"/>
        <v>-596614.66645446536</v>
      </c>
      <c r="J472" s="542">
        <f t="shared" si="335"/>
        <v>0</v>
      </c>
      <c r="K472" s="542">
        <f t="shared" si="335"/>
        <v>0</v>
      </c>
      <c r="L472" s="542">
        <f t="shared" si="335"/>
        <v>0</v>
      </c>
      <c r="M472" s="542">
        <f t="shared" si="335"/>
        <v>-203582.65075738163</v>
      </c>
      <c r="N472" s="542">
        <f t="shared" si="335"/>
        <v>0</v>
      </c>
      <c r="O472" s="542">
        <f t="shared" si="335"/>
        <v>-185023.04623741916</v>
      </c>
      <c r="P472" s="542">
        <f t="shared" si="335"/>
        <v>0</v>
      </c>
      <c r="Q472" s="542">
        <f t="shared" si="335"/>
        <v>0</v>
      </c>
      <c r="R472" s="542">
        <f t="shared" si="335"/>
        <v>0</v>
      </c>
      <c r="S472" s="542">
        <f t="shared" si="335"/>
        <v>0</v>
      </c>
      <c r="T472" s="542">
        <f t="shared" si="335"/>
        <v>0</v>
      </c>
      <c r="U472" s="542">
        <f t="shared" si="335"/>
        <v>0</v>
      </c>
      <c r="V472" s="542">
        <f t="shared" si="335"/>
        <v>0</v>
      </c>
      <c r="W472" s="542">
        <f t="shared" si="335"/>
        <v>0</v>
      </c>
      <c r="X472" s="542">
        <f t="shared" si="335"/>
        <v>0</v>
      </c>
      <c r="Y472" s="542">
        <f t="shared" si="335"/>
        <v>0</v>
      </c>
      <c r="Z472" s="542">
        <f t="shared" si="335"/>
        <v>0</v>
      </c>
      <c r="AA472" s="542">
        <f t="shared" si="335"/>
        <v>2295831.8296000003</v>
      </c>
      <c r="AB472" s="542">
        <f t="shared" si="335"/>
        <v>0</v>
      </c>
      <c r="AC472" s="542">
        <f t="shared" si="335"/>
        <v>8365.7662636469395</v>
      </c>
      <c r="AD472" s="542">
        <f t="shared" ref="AD472" si="336">+AD108</f>
        <v>0</v>
      </c>
      <c r="AE472" s="542">
        <f t="shared" si="335"/>
        <v>-298420.97900107928</v>
      </c>
      <c r="AF472" s="542">
        <f t="shared" si="335"/>
        <v>33679.343200000003</v>
      </c>
      <c r="AG472" s="542">
        <f t="shared" si="335"/>
        <v>-482904.13487989997</v>
      </c>
      <c r="AH472" s="542">
        <f t="shared" si="335"/>
        <v>-318963.84299999994</v>
      </c>
      <c r="AI472" s="542">
        <f t="shared" si="335"/>
        <v>-488.0462</v>
      </c>
      <c r="AJ472" s="542">
        <f t="shared" ref="AJ472" si="337">+AJ108</f>
        <v>-300603.53971829993</v>
      </c>
      <c r="AK472" s="542">
        <f t="shared" ref="AK472:AL472" si="338">+AK108</f>
        <v>0</v>
      </c>
      <c r="AL472" s="542">
        <f t="shared" si="338"/>
        <v>0</v>
      </c>
      <c r="AM472" s="542">
        <f t="shared" ref="AM472:AO472" si="339">+AM108</f>
        <v>0</v>
      </c>
      <c r="AN472" s="542">
        <f t="shared" si="339"/>
        <v>0</v>
      </c>
      <c r="AO472" s="542">
        <f t="shared" si="339"/>
        <v>0</v>
      </c>
      <c r="AP472" s="542">
        <f t="shared" si="335"/>
        <v>-15145433.462216999</v>
      </c>
      <c r="AQ472" s="542">
        <f t="shared" si="335"/>
        <v>-2374790.7095624562</v>
      </c>
      <c r="AR472" s="542">
        <f t="shared" si="335"/>
        <v>330440.00281978119</v>
      </c>
      <c r="AS472" s="542">
        <f>+AS108</f>
        <v>0</v>
      </c>
      <c r="AT472" s="542">
        <f t="shared" ref="AT472:AZ472" si="340">+AT108</f>
        <v>0</v>
      </c>
      <c r="AU472" s="542">
        <f t="shared" si="340"/>
        <v>0</v>
      </c>
      <c r="AV472" s="542">
        <f t="shared" si="340"/>
        <v>0</v>
      </c>
      <c r="AW472" s="542">
        <f t="shared" si="340"/>
        <v>0</v>
      </c>
      <c r="AX472" s="542">
        <f t="shared" si="340"/>
        <v>0</v>
      </c>
      <c r="AY472" s="542">
        <f t="shared" si="340"/>
        <v>0</v>
      </c>
      <c r="AZ472" s="542">
        <f t="shared" si="340"/>
        <v>0</v>
      </c>
      <c r="BB472" s="542">
        <f t="shared" si="335"/>
        <v>-78820148.294894114</v>
      </c>
      <c r="BC472" s="542">
        <f t="shared" si="335"/>
        <v>134725962.22028792</v>
      </c>
      <c r="BD472" s="444"/>
      <c r="BF472" s="336"/>
    </row>
    <row r="473" spans="2:58" x14ac:dyDescent="0.35">
      <c r="B473" s="543" t="s">
        <v>132</v>
      </c>
      <c r="C473" s="756">
        <v>45291</v>
      </c>
      <c r="D473" s="800">
        <f>+D110</f>
        <v>2910473035.7707138</v>
      </c>
      <c r="E473" s="544">
        <f t="shared" ref="E473:BC473" si="341">+E110</f>
        <v>0</v>
      </c>
      <c r="F473" s="544">
        <f t="shared" si="341"/>
        <v>0</v>
      </c>
      <c r="G473" s="544">
        <f t="shared" si="341"/>
        <v>0</v>
      </c>
      <c r="H473" s="544">
        <f t="shared" si="341"/>
        <v>0</v>
      </c>
      <c r="I473" s="544">
        <f t="shared" si="341"/>
        <v>0</v>
      </c>
      <c r="J473" s="544">
        <f t="shared" si="341"/>
        <v>0</v>
      </c>
      <c r="K473" s="544">
        <f t="shared" si="341"/>
        <v>0</v>
      </c>
      <c r="L473" s="544">
        <f t="shared" si="341"/>
        <v>0</v>
      </c>
      <c r="M473" s="544">
        <f t="shared" si="341"/>
        <v>0</v>
      </c>
      <c r="N473" s="544">
        <f t="shared" si="341"/>
        <v>0</v>
      </c>
      <c r="O473" s="544">
        <f t="shared" si="341"/>
        <v>0</v>
      </c>
      <c r="P473" s="544">
        <f t="shared" si="341"/>
        <v>0</v>
      </c>
      <c r="Q473" s="544">
        <f t="shared" si="341"/>
        <v>0</v>
      </c>
      <c r="R473" s="544">
        <f t="shared" si="341"/>
        <v>0</v>
      </c>
      <c r="S473" s="544">
        <f t="shared" si="341"/>
        <v>0</v>
      </c>
      <c r="T473" s="544">
        <f t="shared" si="341"/>
        <v>0</v>
      </c>
      <c r="U473" s="544">
        <f t="shared" si="341"/>
        <v>0</v>
      </c>
      <c r="V473" s="544">
        <f t="shared" si="341"/>
        <v>0</v>
      </c>
      <c r="W473" s="544">
        <f t="shared" si="341"/>
        <v>0</v>
      </c>
      <c r="X473" s="544">
        <f t="shared" si="341"/>
        <v>0</v>
      </c>
      <c r="Y473" s="544">
        <f t="shared" si="341"/>
        <v>0</v>
      </c>
      <c r="Z473" s="544">
        <f t="shared" si="341"/>
        <v>0</v>
      </c>
      <c r="AA473" s="544">
        <f t="shared" si="341"/>
        <v>-28019480.875479184</v>
      </c>
      <c r="AB473" s="544">
        <f t="shared" si="341"/>
        <v>57834387.276298791</v>
      </c>
      <c r="AC473" s="544">
        <f t="shared" si="341"/>
        <v>0</v>
      </c>
      <c r="AD473" s="544">
        <f t="shared" ref="AD473" si="342">+AD110</f>
        <v>0</v>
      </c>
      <c r="AE473" s="544">
        <f t="shared" si="341"/>
        <v>-81821842.066694736</v>
      </c>
      <c r="AF473" s="544">
        <f t="shared" si="341"/>
        <v>42632.08</v>
      </c>
      <c r="AG473" s="544">
        <f t="shared" si="341"/>
        <v>63796583.976750001</v>
      </c>
      <c r="AH473" s="544">
        <f t="shared" si="341"/>
        <v>52899028.379999995</v>
      </c>
      <c r="AI473" s="544">
        <f t="shared" si="341"/>
        <v>57980.340000000004</v>
      </c>
      <c r="AJ473" s="544">
        <f t="shared" ref="AJ473" si="343">+AJ110</f>
        <v>46959913.410709992</v>
      </c>
      <c r="AK473" s="544">
        <f t="shared" ref="AK473:AL473" si="344">+AK110</f>
        <v>0</v>
      </c>
      <c r="AL473" s="544">
        <f t="shared" si="344"/>
        <v>0</v>
      </c>
      <c r="AM473" s="544">
        <f t="shared" ref="AM473:AO473" si="345">+AM110</f>
        <v>0</v>
      </c>
      <c r="AN473" s="544">
        <f t="shared" si="345"/>
        <v>0</v>
      </c>
      <c r="AO473" s="544">
        <f t="shared" si="345"/>
        <v>0</v>
      </c>
      <c r="AP473" s="544">
        <f t="shared" si="341"/>
        <v>-244980865.4539476</v>
      </c>
      <c r="AQ473" s="544">
        <f t="shared" si="341"/>
        <v>24719599.411719467</v>
      </c>
      <c r="AR473" s="544">
        <f t="shared" si="341"/>
        <v>488404.91943644884</v>
      </c>
      <c r="AS473" s="544">
        <f>+AS110</f>
        <v>0</v>
      </c>
      <c r="AT473" s="544">
        <f t="shared" ref="AT473:AZ473" si="346">+AT110</f>
        <v>0</v>
      </c>
      <c r="AU473" s="544">
        <f t="shared" si="346"/>
        <v>0</v>
      </c>
      <c r="AV473" s="544">
        <f t="shared" si="346"/>
        <v>0</v>
      </c>
      <c r="AW473" s="544">
        <f t="shared" si="346"/>
        <v>0</v>
      </c>
      <c r="AX473" s="544">
        <f t="shared" si="346"/>
        <v>0</v>
      </c>
      <c r="AY473" s="544">
        <f t="shared" si="346"/>
        <v>0</v>
      </c>
      <c r="AZ473" s="544">
        <f t="shared" si="346"/>
        <v>0</v>
      </c>
      <c r="BB473" s="544">
        <f t="shared" si="341"/>
        <v>-108023658.60120685</v>
      </c>
      <c r="BC473" s="544">
        <f t="shared" si="341"/>
        <v>2802449377.1695061</v>
      </c>
      <c r="BD473" s="444"/>
      <c r="BF473" s="336"/>
    </row>
    <row r="474" spans="2:58" x14ac:dyDescent="0.35">
      <c r="B474" s="545" t="s">
        <v>187</v>
      </c>
      <c r="C474" s="756">
        <v>45291</v>
      </c>
      <c r="D474" s="800">
        <f>+D126</f>
        <v>784848.69877383497</v>
      </c>
      <c r="E474" s="544">
        <f t="shared" ref="E474:BC474" si="347">+E126</f>
        <v>58370822.895894624</v>
      </c>
      <c r="F474" s="544">
        <f t="shared" si="347"/>
        <v>0</v>
      </c>
      <c r="G474" s="544">
        <f t="shared" si="347"/>
        <v>23455855.920842834</v>
      </c>
      <c r="H474" s="544">
        <f t="shared" si="347"/>
        <v>-176481.64597861908</v>
      </c>
      <c r="I474" s="544">
        <f t="shared" si="347"/>
        <v>791042.67157217569</v>
      </c>
      <c r="J474" s="544">
        <f t="shared" si="347"/>
        <v>0</v>
      </c>
      <c r="K474" s="544">
        <f t="shared" si="347"/>
        <v>0</v>
      </c>
      <c r="L474" s="544">
        <f t="shared" si="347"/>
        <v>0</v>
      </c>
      <c r="M474" s="544">
        <f t="shared" si="347"/>
        <v>269927.26293153479</v>
      </c>
      <c r="N474" s="544">
        <f t="shared" si="347"/>
        <v>0</v>
      </c>
      <c r="O474" s="544">
        <f t="shared" si="347"/>
        <v>245319.35439646247</v>
      </c>
      <c r="P474" s="544">
        <f t="shared" si="347"/>
        <v>0</v>
      </c>
      <c r="Q474" s="544">
        <f t="shared" si="347"/>
        <v>0</v>
      </c>
      <c r="R474" s="544">
        <f t="shared" si="347"/>
        <v>0</v>
      </c>
      <c r="S474" s="544">
        <f t="shared" si="347"/>
        <v>0</v>
      </c>
      <c r="T474" s="544">
        <f t="shared" si="347"/>
        <v>0</v>
      </c>
      <c r="U474" s="544">
        <f t="shared" si="347"/>
        <v>0</v>
      </c>
      <c r="V474" s="544">
        <f t="shared" si="347"/>
        <v>0</v>
      </c>
      <c r="W474" s="544">
        <f t="shared" si="347"/>
        <v>0</v>
      </c>
      <c r="X474" s="544">
        <f t="shared" si="347"/>
        <v>0</v>
      </c>
      <c r="Y474" s="544">
        <f t="shared" si="347"/>
        <v>0</v>
      </c>
      <c r="Z474" s="544">
        <f t="shared" si="347"/>
        <v>0</v>
      </c>
      <c r="AA474" s="544">
        <f t="shared" si="347"/>
        <v>-5777366.7849975815</v>
      </c>
      <c r="AB474" s="544">
        <f t="shared" si="347"/>
        <v>5641861.1769535709</v>
      </c>
      <c r="AC474" s="544">
        <f t="shared" si="347"/>
        <v>-11092.047291212084</v>
      </c>
      <c r="AD474" s="544">
        <f t="shared" ref="AD474" si="348">+AD126</f>
        <v>0</v>
      </c>
      <c r="AE474" s="544">
        <f t="shared" si="347"/>
        <v>-7586213.776553819</v>
      </c>
      <c r="AF474" s="544">
        <f t="shared" si="347"/>
        <v>-40496.10377174618</v>
      </c>
      <c r="AG474" s="544">
        <f t="shared" si="347"/>
        <v>6863761.034308983</v>
      </c>
      <c r="AH474" s="544">
        <f t="shared" si="347"/>
        <v>5583316.4584255368</v>
      </c>
      <c r="AI474" s="544">
        <f t="shared" si="347"/>
        <v>6303.1924874007736</v>
      </c>
      <c r="AJ474" s="544">
        <f t="shared" ref="AJ474" si="349">+AJ126</f>
        <v>4979600.1512984894</v>
      </c>
      <c r="AK474" s="544">
        <f t="shared" ref="AK474:AL474" si="350">+AK126</f>
        <v>0</v>
      </c>
      <c r="AL474" s="544">
        <f t="shared" si="350"/>
        <v>0</v>
      </c>
      <c r="AM474" s="544">
        <f t="shared" ref="AM474:AO474" si="351">+AM126</f>
        <v>0</v>
      </c>
      <c r="AN474" s="544">
        <f t="shared" si="351"/>
        <v>0</v>
      </c>
      <c r="AO474" s="544">
        <f t="shared" si="351"/>
        <v>0</v>
      </c>
      <c r="AP474" s="544">
        <f t="shared" si="347"/>
        <v>-3817268.7471008785</v>
      </c>
      <c r="AQ474" s="544">
        <f t="shared" si="347"/>
        <v>5560147.1153105497</v>
      </c>
      <c r="AR474" s="544">
        <f t="shared" si="347"/>
        <v>-390480.6876469173</v>
      </c>
      <c r="AS474" s="544">
        <f>+AS126</f>
        <v>0</v>
      </c>
      <c r="AT474" s="544">
        <f t="shared" ref="AT474:AZ474" si="352">+AT126</f>
        <v>0</v>
      </c>
      <c r="AU474" s="544">
        <f t="shared" si="352"/>
        <v>0</v>
      </c>
      <c r="AV474" s="544">
        <f t="shared" si="352"/>
        <v>0</v>
      </c>
      <c r="AW474" s="544">
        <f t="shared" si="352"/>
        <v>0</v>
      </c>
      <c r="AX474" s="544">
        <f t="shared" si="352"/>
        <v>0</v>
      </c>
      <c r="AY474" s="544">
        <f t="shared" si="352"/>
        <v>0</v>
      </c>
      <c r="AZ474" s="544">
        <f t="shared" si="352"/>
        <v>0</v>
      </c>
      <c r="BB474" s="544">
        <f t="shared" si="347"/>
        <v>93968557.441081405</v>
      </c>
      <c r="BC474" s="544">
        <f t="shared" si="347"/>
        <v>94753406.139855042</v>
      </c>
      <c r="BD474" s="444"/>
      <c r="BF474" s="336"/>
    </row>
    <row r="475" spans="2:58" x14ac:dyDescent="0.35">
      <c r="B475" s="540" t="s">
        <v>940</v>
      </c>
      <c r="C475" s="541" t="s">
        <v>925</v>
      </c>
      <c r="D475" s="799">
        <f>+D169</f>
        <v>134725962.22028792</v>
      </c>
      <c r="E475" s="542">
        <f t="shared" ref="E475:BC475" si="353">+E169</f>
        <v>152365.35604699998</v>
      </c>
      <c r="F475" s="542">
        <f t="shared" si="353"/>
        <v>0</v>
      </c>
      <c r="G475" s="542">
        <f t="shared" si="353"/>
        <v>0</v>
      </c>
      <c r="H475" s="542">
        <f t="shared" si="353"/>
        <v>-348814.75209316192</v>
      </c>
      <c r="I475" s="542">
        <f t="shared" si="353"/>
        <v>543136.50103020924</v>
      </c>
      <c r="J475" s="542">
        <f t="shared" si="353"/>
        <v>0</v>
      </c>
      <c r="K475" s="542">
        <f t="shared" si="353"/>
        <v>0</v>
      </c>
      <c r="L475" s="542">
        <f t="shared" si="353"/>
        <v>0</v>
      </c>
      <c r="M475" s="542">
        <f t="shared" si="353"/>
        <v>0</v>
      </c>
      <c r="N475" s="542">
        <f t="shared" si="353"/>
        <v>0</v>
      </c>
      <c r="O475" s="542">
        <f t="shared" si="353"/>
        <v>-81134.752065464156</v>
      </c>
      <c r="P475" s="542">
        <f t="shared" si="353"/>
        <v>0</v>
      </c>
      <c r="Q475" s="542">
        <f t="shared" si="353"/>
        <v>0</v>
      </c>
      <c r="R475" s="542">
        <f t="shared" si="353"/>
        <v>0</v>
      </c>
      <c r="S475" s="542">
        <f t="shared" si="353"/>
        <v>0</v>
      </c>
      <c r="T475" s="542">
        <f t="shared" si="353"/>
        <v>0</v>
      </c>
      <c r="U475" s="542">
        <f t="shared" si="353"/>
        <v>0</v>
      </c>
      <c r="V475" s="542">
        <f t="shared" si="353"/>
        <v>0</v>
      </c>
      <c r="W475" s="542">
        <f t="shared" si="353"/>
        <v>0</v>
      </c>
      <c r="X475" s="542">
        <f t="shared" si="353"/>
        <v>0</v>
      </c>
      <c r="Y475" s="542">
        <f t="shared" si="353"/>
        <v>0</v>
      </c>
      <c r="Z475" s="542">
        <f t="shared" si="353"/>
        <v>0</v>
      </c>
      <c r="AA475" s="542">
        <f t="shared" si="353"/>
        <v>0</v>
      </c>
      <c r="AB475" s="542">
        <f t="shared" si="353"/>
        <v>0</v>
      </c>
      <c r="AC475" s="542">
        <f t="shared" si="353"/>
        <v>-8365.7772850000765</v>
      </c>
      <c r="AD475" s="542">
        <f t="shared" ref="AD475" si="354">+AD169</f>
        <v>0</v>
      </c>
      <c r="AE475" s="542">
        <f t="shared" si="353"/>
        <v>1555027.3769056804</v>
      </c>
      <c r="AF475" s="542">
        <f t="shared" si="353"/>
        <v>201172.12539999996</v>
      </c>
      <c r="AG475" s="542">
        <f t="shared" si="353"/>
        <v>-5523856.8748024488</v>
      </c>
      <c r="AH475" s="542">
        <f t="shared" si="353"/>
        <v>-2203239.8638000004</v>
      </c>
      <c r="AI475" s="542">
        <f t="shared" si="353"/>
        <v>-12006.538499999999</v>
      </c>
      <c r="AJ475" s="542">
        <f t="shared" ref="AJ475" si="355">+AJ169</f>
        <v>-4818440.9902843507</v>
      </c>
      <c r="AK475" s="542">
        <f t="shared" ref="AK475:AL475" si="356">+AK169</f>
        <v>0</v>
      </c>
      <c r="AL475" s="542">
        <f t="shared" si="356"/>
        <v>0</v>
      </c>
      <c r="AM475" s="542">
        <f t="shared" ref="AM475:AO475" si="357">+AM169</f>
        <v>0</v>
      </c>
      <c r="AN475" s="542">
        <f t="shared" si="357"/>
        <v>0</v>
      </c>
      <c r="AO475" s="542">
        <f t="shared" si="357"/>
        <v>0</v>
      </c>
      <c r="AP475" s="542">
        <f t="shared" si="353"/>
        <v>0</v>
      </c>
      <c r="AQ475" s="542">
        <f t="shared" si="353"/>
        <v>1994565.5414671653</v>
      </c>
      <c r="AR475" s="542">
        <f t="shared" si="353"/>
        <v>660880.00563955808</v>
      </c>
      <c r="AS475" s="542">
        <f>+AS169</f>
        <v>0</v>
      </c>
      <c r="AT475" s="542">
        <f t="shared" ref="AT475:AZ475" si="358">+AT169</f>
        <v>0</v>
      </c>
      <c r="AU475" s="542">
        <f t="shared" si="358"/>
        <v>0</v>
      </c>
      <c r="AV475" s="542">
        <f t="shared" si="358"/>
        <v>0</v>
      </c>
      <c r="AW475" s="542">
        <f t="shared" si="358"/>
        <v>0</v>
      </c>
      <c r="AX475" s="542">
        <f t="shared" si="358"/>
        <v>0</v>
      </c>
      <c r="AY475" s="542">
        <f t="shared" si="358"/>
        <v>0</v>
      </c>
      <c r="AZ475" s="542">
        <f t="shared" si="358"/>
        <v>0</v>
      </c>
      <c r="BB475" s="542">
        <f t="shared" si="353"/>
        <v>-7888712.6423408128</v>
      </c>
      <c r="BC475" s="542">
        <f t="shared" si="353"/>
        <v>126837249.57794708</v>
      </c>
      <c r="BD475" s="444"/>
      <c r="BF475" s="336"/>
    </row>
    <row r="476" spans="2:58" x14ac:dyDescent="0.35">
      <c r="B476" s="543" t="s">
        <v>132</v>
      </c>
      <c r="C476" s="796" t="s">
        <v>925</v>
      </c>
      <c r="D476" s="800">
        <f>+D171</f>
        <v>2802449377.1695061</v>
      </c>
      <c r="E476" s="544">
        <f t="shared" ref="E476:BC476" si="359">+E171</f>
        <v>0</v>
      </c>
      <c r="F476" s="544">
        <f t="shared" si="359"/>
        <v>0</v>
      </c>
      <c r="G476" s="544">
        <f t="shared" si="359"/>
        <v>0</v>
      </c>
      <c r="H476" s="544">
        <f t="shared" si="359"/>
        <v>0</v>
      </c>
      <c r="I476" s="544">
        <f t="shared" si="359"/>
        <v>0</v>
      </c>
      <c r="J476" s="544">
        <f t="shared" si="359"/>
        <v>0</v>
      </c>
      <c r="K476" s="544">
        <f t="shared" si="359"/>
        <v>0</v>
      </c>
      <c r="L476" s="544">
        <f t="shared" si="359"/>
        <v>0</v>
      </c>
      <c r="M476" s="544">
        <f t="shared" si="359"/>
        <v>0</v>
      </c>
      <c r="N476" s="544">
        <f t="shared" si="359"/>
        <v>0</v>
      </c>
      <c r="O476" s="544">
        <f t="shared" si="359"/>
        <v>0</v>
      </c>
      <c r="P476" s="544">
        <f t="shared" si="359"/>
        <v>0</v>
      </c>
      <c r="Q476" s="544">
        <f t="shared" si="359"/>
        <v>0</v>
      </c>
      <c r="R476" s="544">
        <f t="shared" si="359"/>
        <v>0</v>
      </c>
      <c r="S476" s="544">
        <f t="shared" si="359"/>
        <v>0</v>
      </c>
      <c r="T476" s="544">
        <f t="shared" si="359"/>
        <v>0</v>
      </c>
      <c r="U476" s="544">
        <f t="shared" si="359"/>
        <v>0</v>
      </c>
      <c r="V476" s="544">
        <f t="shared" si="359"/>
        <v>0</v>
      </c>
      <c r="W476" s="544">
        <f t="shared" si="359"/>
        <v>0</v>
      </c>
      <c r="X476" s="544">
        <f t="shared" si="359"/>
        <v>0</v>
      </c>
      <c r="Y476" s="544">
        <f t="shared" si="359"/>
        <v>0</v>
      </c>
      <c r="Z476" s="544">
        <f t="shared" si="359"/>
        <v>0</v>
      </c>
      <c r="AA476" s="544">
        <f t="shared" si="359"/>
        <v>0</v>
      </c>
      <c r="AB476" s="544">
        <f t="shared" si="359"/>
        <v>0</v>
      </c>
      <c r="AC476" s="544">
        <f t="shared" si="359"/>
        <v>0</v>
      </c>
      <c r="AD476" s="544">
        <f t="shared" ref="AD476" si="360">+AD171</f>
        <v>0</v>
      </c>
      <c r="AE476" s="544">
        <f t="shared" si="359"/>
        <v>-172911836.65312946</v>
      </c>
      <c r="AF476" s="544">
        <f t="shared" si="359"/>
        <v>297280.34000000003</v>
      </c>
      <c r="AG476" s="544">
        <f t="shared" si="359"/>
        <v>126477500.64549002</v>
      </c>
      <c r="AH476" s="544">
        <f t="shared" si="359"/>
        <v>85035899.859999985</v>
      </c>
      <c r="AI476" s="544">
        <f t="shared" si="359"/>
        <v>13028953.590000002</v>
      </c>
      <c r="AJ476" s="544">
        <f t="shared" ref="AJ476" si="361">+AJ171</f>
        <v>54132411.425150014</v>
      </c>
      <c r="AK476" s="544">
        <f t="shared" ref="AK476:AL476" si="362">+AK171</f>
        <v>0</v>
      </c>
      <c r="AL476" s="544">
        <f t="shared" si="362"/>
        <v>0</v>
      </c>
      <c r="AM476" s="544">
        <f t="shared" ref="AM476:AO476" si="363">+AM171</f>
        <v>0</v>
      </c>
      <c r="AN476" s="544">
        <f t="shared" si="363"/>
        <v>0</v>
      </c>
      <c r="AO476" s="544">
        <f t="shared" si="363"/>
        <v>0</v>
      </c>
      <c r="AP476" s="544">
        <f t="shared" si="359"/>
        <v>0</v>
      </c>
      <c r="AQ476" s="544">
        <f t="shared" si="359"/>
        <v>-8672507.3526021261</v>
      </c>
      <c r="AR476" s="544">
        <f t="shared" si="359"/>
        <v>953145.69718474289</v>
      </c>
      <c r="AS476" s="544">
        <f>+AS171</f>
        <v>0</v>
      </c>
      <c r="AT476" s="544">
        <f t="shared" ref="AT476:AZ476" si="364">+AT171</f>
        <v>0</v>
      </c>
      <c r="AU476" s="544">
        <f t="shared" si="364"/>
        <v>0</v>
      </c>
      <c r="AV476" s="544">
        <f t="shared" si="364"/>
        <v>0</v>
      </c>
      <c r="AW476" s="544">
        <f t="shared" si="364"/>
        <v>0</v>
      </c>
      <c r="AX476" s="544">
        <f t="shared" si="364"/>
        <v>0</v>
      </c>
      <c r="AY476" s="544">
        <f t="shared" si="364"/>
        <v>0</v>
      </c>
      <c r="AZ476" s="544">
        <f t="shared" si="364"/>
        <v>0</v>
      </c>
      <c r="BB476" s="544">
        <f t="shared" si="359"/>
        <v>98340847.552093089</v>
      </c>
      <c r="BC476" s="544">
        <f t="shared" si="359"/>
        <v>2900790224.7215991</v>
      </c>
      <c r="BD476" s="444"/>
      <c r="BF476" s="336"/>
    </row>
    <row r="477" spans="2:58" x14ac:dyDescent="0.35">
      <c r="B477" s="545" t="s">
        <v>187</v>
      </c>
      <c r="C477" s="797" t="s">
        <v>925</v>
      </c>
      <c r="D477" s="800">
        <f>+D187</f>
        <v>94753406.139855042</v>
      </c>
      <c r="E477" s="544">
        <f t="shared" ref="E477:BC477" si="365">+E187</f>
        <v>-202018.99999999997</v>
      </c>
      <c r="F477" s="544">
        <f t="shared" si="365"/>
        <v>0</v>
      </c>
      <c r="G477" s="544">
        <f t="shared" si="365"/>
        <v>0</v>
      </c>
      <c r="H477" s="544">
        <f t="shared" si="365"/>
        <v>462488.38470453559</v>
      </c>
      <c r="I477" s="544">
        <f t="shared" si="365"/>
        <v>-720136.75318538561</v>
      </c>
      <c r="J477" s="544">
        <f t="shared" si="365"/>
        <v>0</v>
      </c>
      <c r="K477" s="544">
        <f t="shared" si="365"/>
        <v>0</v>
      </c>
      <c r="L477" s="544">
        <f t="shared" si="365"/>
        <v>0</v>
      </c>
      <c r="M477" s="544">
        <f t="shared" si="365"/>
        <v>0</v>
      </c>
      <c r="N477" s="544">
        <f t="shared" si="365"/>
        <v>0</v>
      </c>
      <c r="O477" s="544">
        <f t="shared" si="365"/>
        <v>107575.38263788102</v>
      </c>
      <c r="P477" s="544">
        <f t="shared" si="365"/>
        <v>0</v>
      </c>
      <c r="Q477" s="544">
        <f t="shared" si="365"/>
        <v>0</v>
      </c>
      <c r="R477" s="544">
        <f t="shared" si="365"/>
        <v>0</v>
      </c>
      <c r="S477" s="544">
        <f t="shared" si="365"/>
        <v>0</v>
      </c>
      <c r="T477" s="544">
        <f t="shared" si="365"/>
        <v>0</v>
      </c>
      <c r="U477" s="544">
        <f t="shared" si="365"/>
        <v>0</v>
      </c>
      <c r="V477" s="544">
        <f t="shared" si="365"/>
        <v>0</v>
      </c>
      <c r="W477" s="544">
        <f t="shared" si="365"/>
        <v>0</v>
      </c>
      <c r="X477" s="544">
        <f t="shared" si="365"/>
        <v>0</v>
      </c>
      <c r="Y477" s="544">
        <f t="shared" si="365"/>
        <v>0</v>
      </c>
      <c r="Z477" s="544">
        <f t="shared" si="365"/>
        <v>0</v>
      </c>
      <c r="AA477" s="544">
        <f t="shared" si="365"/>
        <v>0</v>
      </c>
      <c r="AB477" s="544">
        <f t="shared" si="365"/>
        <v>0</v>
      </c>
      <c r="AC477" s="544">
        <f t="shared" si="365"/>
        <v>11092.061904263221</v>
      </c>
      <c r="AD477" s="544">
        <f t="shared" ref="AD477" si="366">+AD187</f>
        <v>0</v>
      </c>
      <c r="AE477" s="544">
        <f t="shared" si="365"/>
        <v>-18929686.651727933</v>
      </c>
      <c r="AF477" s="544">
        <f t="shared" si="365"/>
        <v>-237730.88555156163</v>
      </c>
      <c r="AG477" s="544">
        <f t="shared" si="365"/>
        <v>19662136.538079266</v>
      </c>
      <c r="AH477" s="544">
        <f t="shared" si="365"/>
        <v>11216667.169618528</v>
      </c>
      <c r="AI477" s="544">
        <f t="shared" si="365"/>
        <v>1286920.0065289915</v>
      </c>
      <c r="AJ477" s="544">
        <f t="shared" ref="AJ477" si="367">+AJ187</f>
        <v>11669426.48945293</v>
      </c>
      <c r="AK477" s="544">
        <f t="shared" ref="AK477:AL477" si="368">+AK187</f>
        <v>0</v>
      </c>
      <c r="AL477" s="544">
        <f t="shared" si="368"/>
        <v>0</v>
      </c>
      <c r="AM477" s="544">
        <f t="shared" ref="AM477:AO477" si="369">+AM187</f>
        <v>0</v>
      </c>
      <c r="AN477" s="544">
        <f t="shared" si="369"/>
        <v>0</v>
      </c>
      <c r="AO477" s="544">
        <f t="shared" si="369"/>
        <v>0</v>
      </c>
      <c r="AP477" s="544">
        <f t="shared" si="365"/>
        <v>0</v>
      </c>
      <c r="AQ477" s="544">
        <f t="shared" si="365"/>
        <v>-3490585.9086688594</v>
      </c>
      <c r="AR477" s="544">
        <f t="shared" si="365"/>
        <v>-783269.86006498255</v>
      </c>
      <c r="AS477" s="544">
        <f>+AS187</f>
        <v>0</v>
      </c>
      <c r="AT477" s="544">
        <f t="shared" ref="AT477:AZ477" si="370">+AT187</f>
        <v>0</v>
      </c>
      <c r="AU477" s="544">
        <f t="shared" si="370"/>
        <v>0</v>
      </c>
      <c r="AV477" s="544">
        <f t="shared" si="370"/>
        <v>0</v>
      </c>
      <c r="AW477" s="544">
        <f t="shared" si="370"/>
        <v>0</v>
      </c>
      <c r="AX477" s="544">
        <f t="shared" si="370"/>
        <v>0</v>
      </c>
      <c r="AY477" s="544">
        <f t="shared" si="370"/>
        <v>0</v>
      </c>
      <c r="AZ477" s="544">
        <f t="shared" si="370"/>
        <v>0</v>
      </c>
      <c r="BB477" s="544">
        <f t="shared" si="365"/>
        <v>20052876.973727673</v>
      </c>
      <c r="BC477" s="544">
        <f t="shared" si="365"/>
        <v>114806283.11358272</v>
      </c>
      <c r="BD477" s="444"/>
      <c r="BF477" s="336"/>
    </row>
    <row r="478" spans="2:58" x14ac:dyDescent="0.35">
      <c r="B478" s="540" t="s">
        <v>940</v>
      </c>
      <c r="C478" s="541" t="s">
        <v>941</v>
      </c>
      <c r="D478" s="799">
        <f>+D230</f>
        <v>126837249.57794708</v>
      </c>
      <c r="E478" s="542">
        <f t="shared" ref="E478:BC478" si="371">+E230</f>
        <v>-2718384.2726579998</v>
      </c>
      <c r="F478" s="542">
        <f t="shared" si="371"/>
        <v>0</v>
      </c>
      <c r="G478" s="542">
        <f t="shared" si="371"/>
        <v>0</v>
      </c>
      <c r="H478" s="542">
        <f t="shared" si="371"/>
        <v>3984285.403344369</v>
      </c>
      <c r="I478" s="542">
        <f t="shared" si="371"/>
        <v>532996.14814697567</v>
      </c>
      <c r="J478" s="542">
        <f t="shared" si="371"/>
        <v>0</v>
      </c>
      <c r="K478" s="542">
        <f t="shared" si="371"/>
        <v>0</v>
      </c>
      <c r="L478" s="542">
        <f t="shared" si="371"/>
        <v>0</v>
      </c>
      <c r="M478" s="542">
        <f t="shared" si="371"/>
        <v>0</v>
      </c>
      <c r="N478" s="542">
        <f t="shared" si="371"/>
        <v>0</v>
      </c>
      <c r="O478" s="542">
        <f t="shared" si="371"/>
        <v>-19246.648578410714</v>
      </c>
      <c r="P478" s="542">
        <f t="shared" si="371"/>
        <v>0</v>
      </c>
      <c r="Q478" s="542">
        <f t="shared" si="371"/>
        <v>0</v>
      </c>
      <c r="R478" s="542">
        <f t="shared" si="371"/>
        <v>0</v>
      </c>
      <c r="S478" s="542">
        <f t="shared" si="371"/>
        <v>0</v>
      </c>
      <c r="T478" s="542">
        <f t="shared" si="371"/>
        <v>0</v>
      </c>
      <c r="U478" s="542">
        <f t="shared" si="371"/>
        <v>0</v>
      </c>
      <c r="V478" s="542">
        <f t="shared" si="371"/>
        <v>0</v>
      </c>
      <c r="W478" s="542">
        <f t="shared" si="371"/>
        <v>0</v>
      </c>
      <c r="X478" s="542">
        <f t="shared" si="371"/>
        <v>0</v>
      </c>
      <c r="Y478" s="542">
        <f t="shared" si="371"/>
        <v>0</v>
      </c>
      <c r="Z478" s="542">
        <f t="shared" si="371"/>
        <v>-3301998.5104280058</v>
      </c>
      <c r="AA478" s="542">
        <f t="shared" si="371"/>
        <v>0</v>
      </c>
      <c r="AB478" s="542">
        <f t="shared" si="371"/>
        <v>-3727575.3505524765</v>
      </c>
      <c r="AC478" s="542">
        <f t="shared" si="371"/>
        <v>1366472.8491678936</v>
      </c>
      <c r="AD478" s="542">
        <f t="shared" ref="AD478" si="372">+AD230</f>
        <v>0</v>
      </c>
      <c r="AE478" s="542">
        <f t="shared" si="371"/>
        <v>-53244588.094624028</v>
      </c>
      <c r="AF478" s="542">
        <f t="shared" si="371"/>
        <v>497104.17410000088</v>
      </c>
      <c r="AG478" s="542">
        <f t="shared" si="371"/>
        <v>-8419002.0806574002</v>
      </c>
      <c r="AH478" s="542">
        <f t="shared" si="371"/>
        <v>-3675849.0017999993</v>
      </c>
      <c r="AI478" s="542">
        <f t="shared" si="371"/>
        <v>-355434.6433</v>
      </c>
      <c r="AJ478" s="542">
        <f t="shared" ref="AJ478" si="373">+AJ230</f>
        <v>-7251841.4363879003</v>
      </c>
      <c r="AK478" s="542">
        <f t="shared" ref="AK478:AL478" si="374">+AK230</f>
        <v>0</v>
      </c>
      <c r="AL478" s="542">
        <f t="shared" si="374"/>
        <v>-1898572.9427632273</v>
      </c>
      <c r="AM478" s="542">
        <f t="shared" ref="AM478:AO478" si="375">+AM230</f>
        <v>-48980</v>
      </c>
      <c r="AN478" s="542">
        <f t="shared" si="375"/>
        <v>0</v>
      </c>
      <c r="AO478" s="542">
        <f t="shared" si="375"/>
        <v>-318969.52152150846</v>
      </c>
      <c r="AP478" s="542">
        <f t="shared" si="371"/>
        <v>0</v>
      </c>
      <c r="AQ478" s="542">
        <f t="shared" si="371"/>
        <v>-10199.104871913682</v>
      </c>
      <c r="AR478" s="542">
        <f t="shared" si="371"/>
        <v>522095.20445525099</v>
      </c>
      <c r="AS478" s="542">
        <f>+AS230</f>
        <v>-3852325</v>
      </c>
      <c r="AT478" s="542">
        <f t="shared" ref="AT478:AZ478" si="376">+AT230</f>
        <v>0</v>
      </c>
      <c r="AU478" s="542">
        <f t="shared" si="376"/>
        <v>0</v>
      </c>
      <c r="AV478" s="542">
        <f t="shared" si="376"/>
        <v>0</v>
      </c>
      <c r="AW478" s="542">
        <f t="shared" si="376"/>
        <v>0</v>
      </c>
      <c r="AX478" s="542">
        <f t="shared" si="376"/>
        <v>0</v>
      </c>
      <c r="AY478" s="542">
        <f t="shared" si="376"/>
        <v>0</v>
      </c>
      <c r="AZ478" s="542">
        <f t="shared" si="376"/>
        <v>0</v>
      </c>
      <c r="BB478" s="542">
        <f t="shared" si="371"/>
        <v>-81940012.828928351</v>
      </c>
      <c r="BC478" s="542">
        <f t="shared" si="371"/>
        <v>44897236.749018729</v>
      </c>
      <c r="BD478" s="444"/>
      <c r="BF478" s="336"/>
    </row>
    <row r="479" spans="2:58" x14ac:dyDescent="0.35">
      <c r="B479" s="543" t="s">
        <v>132</v>
      </c>
      <c r="C479" s="796" t="s">
        <v>941</v>
      </c>
      <c r="D479" s="800">
        <f>+D232</f>
        <v>2900790224.7215991</v>
      </c>
      <c r="E479" s="544">
        <f t="shared" ref="E479:BC479" si="377">+E232</f>
        <v>0</v>
      </c>
      <c r="F479" s="544">
        <f t="shared" si="377"/>
        <v>0</v>
      </c>
      <c r="G479" s="544">
        <f t="shared" si="377"/>
        <v>0</v>
      </c>
      <c r="H479" s="544">
        <f t="shared" si="377"/>
        <v>0</v>
      </c>
      <c r="I479" s="544">
        <f t="shared" si="377"/>
        <v>0</v>
      </c>
      <c r="J479" s="544">
        <f t="shared" si="377"/>
        <v>0</v>
      </c>
      <c r="K479" s="544">
        <f t="shared" si="377"/>
        <v>0</v>
      </c>
      <c r="L479" s="544">
        <f t="shared" si="377"/>
        <v>0</v>
      </c>
      <c r="M479" s="544">
        <f t="shared" si="377"/>
        <v>0</v>
      </c>
      <c r="N479" s="544">
        <f t="shared" si="377"/>
        <v>0</v>
      </c>
      <c r="O479" s="544">
        <f t="shared" si="377"/>
        <v>0</v>
      </c>
      <c r="P479" s="544">
        <f t="shared" si="377"/>
        <v>0</v>
      </c>
      <c r="Q479" s="544">
        <f t="shared" si="377"/>
        <v>0</v>
      </c>
      <c r="R479" s="544">
        <f t="shared" si="377"/>
        <v>0</v>
      </c>
      <c r="S479" s="544">
        <f t="shared" si="377"/>
        <v>0</v>
      </c>
      <c r="T479" s="544">
        <f t="shared" si="377"/>
        <v>0</v>
      </c>
      <c r="U479" s="544">
        <f t="shared" si="377"/>
        <v>0</v>
      </c>
      <c r="V479" s="544">
        <f t="shared" si="377"/>
        <v>0</v>
      </c>
      <c r="W479" s="544">
        <f t="shared" si="377"/>
        <v>0</v>
      </c>
      <c r="X479" s="544">
        <f t="shared" si="377"/>
        <v>0</v>
      </c>
      <c r="Y479" s="544">
        <f t="shared" si="377"/>
        <v>0</v>
      </c>
      <c r="Z479" s="544">
        <f t="shared" si="377"/>
        <v>0</v>
      </c>
      <c r="AA479" s="544">
        <f t="shared" si="377"/>
        <v>0</v>
      </c>
      <c r="AB479" s="544">
        <f t="shared" si="377"/>
        <v>0</v>
      </c>
      <c r="AC479" s="544">
        <f t="shared" si="377"/>
        <v>0</v>
      </c>
      <c r="AD479" s="544">
        <f t="shared" ref="AD479" si="378">+AD232</f>
        <v>0</v>
      </c>
      <c r="AE479" s="544">
        <f t="shared" si="377"/>
        <v>-110651507.27837408</v>
      </c>
      <c r="AF479" s="544">
        <f t="shared" si="377"/>
        <v>424163.73</v>
      </c>
      <c r="AG479" s="544">
        <f t="shared" si="377"/>
        <v>52167450.423619971</v>
      </c>
      <c r="AH479" s="544">
        <f t="shared" si="377"/>
        <v>24244937.780000035</v>
      </c>
      <c r="AI479" s="544">
        <f t="shared" si="377"/>
        <v>-280261.93000000005</v>
      </c>
      <c r="AJ479" s="544">
        <f t="shared" ref="AJ479" si="379">+AJ232</f>
        <v>4403069.303989986</v>
      </c>
      <c r="AK479" s="544">
        <f t="shared" ref="AK479:AL479" si="380">+AK232</f>
        <v>0</v>
      </c>
      <c r="AL479" s="544">
        <f t="shared" si="380"/>
        <v>0</v>
      </c>
      <c r="AM479" s="544">
        <f t="shared" ref="AM479:AO479" si="381">+AM232</f>
        <v>0</v>
      </c>
      <c r="AN479" s="544">
        <f t="shared" si="381"/>
        <v>0</v>
      </c>
      <c r="AO479" s="544">
        <f t="shared" si="381"/>
        <v>0</v>
      </c>
      <c r="AP479" s="544">
        <f t="shared" si="377"/>
        <v>0</v>
      </c>
      <c r="AQ479" s="544">
        <f t="shared" si="377"/>
        <v>-5170723.4230643986</v>
      </c>
      <c r="AR479" s="544">
        <f t="shared" si="377"/>
        <v>576639.62190245662</v>
      </c>
      <c r="AS479" s="544">
        <f>+AS232</f>
        <v>0</v>
      </c>
      <c r="AT479" s="544">
        <f t="shared" ref="AT479:AZ479" si="382">+AT232</f>
        <v>0</v>
      </c>
      <c r="AU479" s="544">
        <f t="shared" si="382"/>
        <v>0</v>
      </c>
      <c r="AV479" s="544">
        <f t="shared" si="382"/>
        <v>0</v>
      </c>
      <c r="AW479" s="544">
        <f t="shared" si="382"/>
        <v>0</v>
      </c>
      <c r="AX479" s="544">
        <f t="shared" si="382"/>
        <v>0</v>
      </c>
      <c r="AY479" s="544">
        <f t="shared" si="382"/>
        <v>0</v>
      </c>
      <c r="AZ479" s="544">
        <f t="shared" si="382"/>
        <v>0</v>
      </c>
      <c r="BB479" s="544">
        <f t="shared" si="377"/>
        <v>-34286231.771925993</v>
      </c>
      <c r="BC479" s="544">
        <f t="shared" si="377"/>
        <v>2866503992.9496732</v>
      </c>
      <c r="BD479" s="444"/>
      <c r="BF479" s="336"/>
    </row>
    <row r="480" spans="2:58" x14ac:dyDescent="0.35">
      <c r="B480" s="545" t="s">
        <v>187</v>
      </c>
      <c r="C480" s="797" t="s">
        <v>941</v>
      </c>
      <c r="D480" s="800">
        <f>+D248</f>
        <v>114806283.11358272</v>
      </c>
      <c r="E480" s="544">
        <f t="shared" ref="E480:BC480" si="383">+E248</f>
        <v>3604265.9999999995</v>
      </c>
      <c r="F480" s="544">
        <f t="shared" si="383"/>
        <v>0</v>
      </c>
      <c r="G480" s="544">
        <f t="shared" si="383"/>
        <v>0</v>
      </c>
      <c r="H480" s="544">
        <f t="shared" si="383"/>
        <v>-5282705.8183091106</v>
      </c>
      <c r="I480" s="544">
        <f t="shared" si="383"/>
        <v>-706691.80741644022</v>
      </c>
      <c r="J480" s="544">
        <f t="shared" si="383"/>
        <v>0</v>
      </c>
      <c r="K480" s="544">
        <f t="shared" si="383"/>
        <v>0</v>
      </c>
      <c r="L480" s="544">
        <f t="shared" si="383"/>
        <v>0</v>
      </c>
      <c r="M480" s="544">
        <f t="shared" si="383"/>
        <v>0</v>
      </c>
      <c r="N480" s="544">
        <f t="shared" si="383"/>
        <v>0</v>
      </c>
      <c r="O480" s="544">
        <f t="shared" si="383"/>
        <v>25518.850216597584</v>
      </c>
      <c r="P480" s="544">
        <f t="shared" si="383"/>
        <v>0</v>
      </c>
      <c r="Q480" s="544">
        <f t="shared" si="383"/>
        <v>0</v>
      </c>
      <c r="R480" s="544">
        <f t="shared" si="383"/>
        <v>0</v>
      </c>
      <c r="S480" s="544">
        <f t="shared" si="383"/>
        <v>0</v>
      </c>
      <c r="T480" s="544">
        <f t="shared" si="383"/>
        <v>0</v>
      </c>
      <c r="U480" s="544">
        <f t="shared" si="383"/>
        <v>0</v>
      </c>
      <c r="V480" s="544">
        <f t="shared" si="383"/>
        <v>0</v>
      </c>
      <c r="W480" s="544">
        <f t="shared" si="383"/>
        <v>0</v>
      </c>
      <c r="X480" s="544">
        <f t="shared" si="383"/>
        <v>0</v>
      </c>
      <c r="Y480" s="544">
        <f t="shared" si="383"/>
        <v>0</v>
      </c>
      <c r="Z480" s="544">
        <f t="shared" si="383"/>
        <v>4378071.593075173</v>
      </c>
      <c r="AA480" s="544">
        <f t="shared" si="383"/>
        <v>0</v>
      </c>
      <c r="AB480" s="544">
        <f t="shared" si="383"/>
        <v>4942337.7090456896</v>
      </c>
      <c r="AC480" s="544">
        <f t="shared" si="383"/>
        <v>-1811786.3908045786</v>
      </c>
      <c r="AD480" s="544">
        <f t="shared" ref="AD480" si="384">+AD248</f>
        <v>0</v>
      </c>
      <c r="AE480" s="544">
        <f t="shared" si="383"/>
        <v>59801943.809795976</v>
      </c>
      <c r="AF480" s="544">
        <f t="shared" si="383"/>
        <v>-617725.13555885514</v>
      </c>
      <c r="AG480" s="544">
        <f t="shared" si="383"/>
        <v>16251671.935613997</v>
      </c>
      <c r="AH480" s="544">
        <f t="shared" si="383"/>
        <v>7238897.1006380189</v>
      </c>
      <c r="AI480" s="544">
        <f t="shared" si="383"/>
        <v>443925.4849760611</v>
      </c>
      <c r="AJ480" s="544">
        <f t="shared" ref="AJ480" si="385">+AJ248</f>
        <v>10044638.928829074</v>
      </c>
      <c r="AK480" s="544">
        <f t="shared" ref="AK480:AL480" si="386">+AK248</f>
        <v>0</v>
      </c>
      <c r="AL480" s="544">
        <f t="shared" si="386"/>
        <v>2517290.1325795595</v>
      </c>
      <c r="AM480" s="544">
        <f t="shared" ref="AM480:AO480" si="387">+AM248</f>
        <v>64941.866554938722</v>
      </c>
      <c r="AN480" s="544">
        <f t="shared" si="387"/>
        <v>0</v>
      </c>
      <c r="AO480" s="544">
        <f t="shared" si="387"/>
        <v>422917.0294353299</v>
      </c>
      <c r="AP480" s="544">
        <f t="shared" si="383"/>
        <v>0</v>
      </c>
      <c r="AQ480" s="544">
        <f t="shared" si="383"/>
        <v>-490891.65922630538</v>
      </c>
      <c r="AR480" s="544">
        <f t="shared" si="383"/>
        <v>-635986.04674512078</v>
      </c>
      <c r="AS480" s="544">
        <f>+AS248</f>
        <v>4035115.7431653924</v>
      </c>
      <c r="AT480" s="544">
        <f t="shared" ref="AT480:AZ480" si="388">+AT248</f>
        <v>0</v>
      </c>
      <c r="AU480" s="544">
        <f t="shared" si="388"/>
        <v>0</v>
      </c>
      <c r="AV480" s="544">
        <f t="shared" si="388"/>
        <v>0</v>
      </c>
      <c r="AW480" s="544">
        <f t="shared" si="388"/>
        <v>0</v>
      </c>
      <c r="AX480" s="544">
        <f t="shared" si="388"/>
        <v>0</v>
      </c>
      <c r="AY480" s="544">
        <f t="shared" si="388"/>
        <v>0</v>
      </c>
      <c r="AZ480" s="544">
        <f t="shared" si="388"/>
        <v>0</v>
      </c>
      <c r="BB480" s="544">
        <f t="shared" si="383"/>
        <v>105298375.02974479</v>
      </c>
      <c r="BC480" s="544">
        <f t="shared" si="383"/>
        <v>220104658.1433275</v>
      </c>
      <c r="BD480" s="444"/>
      <c r="BF480" s="336"/>
    </row>
    <row r="481" spans="1:58" x14ac:dyDescent="0.35">
      <c r="B481" s="540" t="s">
        <v>940</v>
      </c>
      <c r="C481" s="541" t="s">
        <v>942</v>
      </c>
      <c r="D481" s="799">
        <f>+D291</f>
        <v>44897236.749018729</v>
      </c>
      <c r="E481" s="542">
        <f t="shared" ref="E481:BC481" si="389">+E291</f>
        <v>-367107.89825900004</v>
      </c>
      <c r="F481" s="542">
        <f t="shared" si="389"/>
        <v>0</v>
      </c>
      <c r="G481" s="542">
        <f t="shared" si="389"/>
        <v>0</v>
      </c>
      <c r="H481" s="542">
        <f t="shared" si="389"/>
        <v>184598.59659993602</v>
      </c>
      <c r="I481" s="542">
        <f t="shared" si="389"/>
        <v>100756.73972158178</v>
      </c>
      <c r="J481" s="542">
        <f t="shared" si="389"/>
        <v>0</v>
      </c>
      <c r="K481" s="542">
        <f t="shared" si="389"/>
        <v>0</v>
      </c>
      <c r="L481" s="542">
        <f t="shared" si="389"/>
        <v>0</v>
      </c>
      <c r="M481" s="542">
        <f t="shared" si="389"/>
        <v>0</v>
      </c>
      <c r="N481" s="542">
        <f t="shared" si="389"/>
        <v>0</v>
      </c>
      <c r="O481" s="542">
        <f t="shared" si="389"/>
        <v>-1522.7486420287016</v>
      </c>
      <c r="P481" s="542">
        <f t="shared" si="389"/>
        <v>0</v>
      </c>
      <c r="Q481" s="542">
        <f t="shared" si="389"/>
        <v>0</v>
      </c>
      <c r="R481" s="542">
        <f t="shared" si="389"/>
        <v>0</v>
      </c>
      <c r="S481" s="542">
        <f t="shared" si="389"/>
        <v>1483149.1865527751</v>
      </c>
      <c r="T481" s="542">
        <f t="shared" si="389"/>
        <v>0</v>
      </c>
      <c r="U481" s="542">
        <f t="shared" si="389"/>
        <v>0</v>
      </c>
      <c r="V481" s="542">
        <f t="shared" si="389"/>
        <v>0</v>
      </c>
      <c r="W481" s="542">
        <f t="shared" si="389"/>
        <v>0</v>
      </c>
      <c r="X481" s="542">
        <f t="shared" si="389"/>
        <v>0</v>
      </c>
      <c r="Y481" s="542">
        <f t="shared" si="389"/>
        <v>0</v>
      </c>
      <c r="Z481" s="542">
        <f t="shared" si="389"/>
        <v>-6093010.4359589107</v>
      </c>
      <c r="AA481" s="542">
        <f t="shared" si="389"/>
        <v>0</v>
      </c>
      <c r="AB481" s="542">
        <f t="shared" si="389"/>
        <v>0</v>
      </c>
      <c r="AC481" s="542">
        <f t="shared" si="389"/>
        <v>1413394.9515225352</v>
      </c>
      <c r="AD481" s="542">
        <f t="shared" ref="AD481" si="390">+AD291</f>
        <v>0</v>
      </c>
      <c r="AE481" s="542">
        <f t="shared" si="389"/>
        <v>7125267.925121028</v>
      </c>
      <c r="AF481" s="542">
        <f t="shared" si="389"/>
        <v>497104.17410000088</v>
      </c>
      <c r="AG481" s="542">
        <f t="shared" si="389"/>
        <v>-8356860.595495401</v>
      </c>
      <c r="AH481" s="542">
        <f t="shared" si="389"/>
        <v>-1812642.6048999983</v>
      </c>
      <c r="AI481" s="542">
        <f t="shared" si="389"/>
        <v>-192576.32291440002</v>
      </c>
      <c r="AJ481" s="542">
        <f t="shared" ref="AJ481" si="391">+AJ291</f>
        <v>-6593048.6901741503</v>
      </c>
      <c r="AK481" s="542">
        <f t="shared" ref="AK481:AL481" si="392">+AK291</f>
        <v>0</v>
      </c>
      <c r="AL481" s="542">
        <f t="shared" si="392"/>
        <v>0</v>
      </c>
      <c r="AM481" s="542">
        <f t="shared" ref="AM481:AO481" si="393">+AM291</f>
        <v>0</v>
      </c>
      <c r="AN481" s="542">
        <f t="shared" si="393"/>
        <v>0</v>
      </c>
      <c r="AO481" s="542">
        <f t="shared" si="393"/>
        <v>-11163.933253252708</v>
      </c>
      <c r="AP481" s="542">
        <f t="shared" si="389"/>
        <v>0</v>
      </c>
      <c r="AQ481" s="542">
        <f t="shared" si="389"/>
        <v>4573331.9478821624</v>
      </c>
      <c r="AR481" s="542">
        <f t="shared" si="389"/>
        <v>684799.57034431375</v>
      </c>
      <c r="AS481" s="542">
        <f>+AS291</f>
        <v>-3852325</v>
      </c>
      <c r="AT481" s="542">
        <f t="shared" ref="AT481:AZ481" si="394">+AT291</f>
        <v>0</v>
      </c>
      <c r="AU481" s="542">
        <f t="shared" si="394"/>
        <v>0</v>
      </c>
      <c r="AV481" s="542">
        <f t="shared" si="394"/>
        <v>0</v>
      </c>
      <c r="AW481" s="542">
        <f t="shared" si="394"/>
        <v>0</v>
      </c>
      <c r="AX481" s="542">
        <f t="shared" si="394"/>
        <v>0</v>
      </c>
      <c r="AY481" s="542">
        <f t="shared" si="394"/>
        <v>0</v>
      </c>
      <c r="AZ481" s="542">
        <f t="shared" si="394"/>
        <v>0</v>
      </c>
      <c r="BB481" s="542">
        <f t="shared" si="389"/>
        <v>-11217855.137752809</v>
      </c>
      <c r="BC481" s="542">
        <f t="shared" si="389"/>
        <v>33679381.611266017</v>
      </c>
      <c r="BD481" s="444"/>
      <c r="BF481" s="336"/>
    </row>
    <row r="482" spans="1:58" x14ac:dyDescent="0.35">
      <c r="B482" s="543" t="s">
        <v>132</v>
      </c>
      <c r="C482" s="796" t="s">
        <v>942</v>
      </c>
      <c r="D482" s="800">
        <f>+D293</f>
        <v>2866503992.9496732</v>
      </c>
      <c r="E482" s="544">
        <f t="shared" ref="E482:BC482" si="395">+E293</f>
        <v>0</v>
      </c>
      <c r="F482" s="544">
        <f t="shared" si="395"/>
        <v>0</v>
      </c>
      <c r="G482" s="544">
        <f t="shared" si="395"/>
        <v>0</v>
      </c>
      <c r="H482" s="544">
        <f t="shared" si="395"/>
        <v>0</v>
      </c>
      <c r="I482" s="544">
        <f t="shared" si="395"/>
        <v>0</v>
      </c>
      <c r="J482" s="544">
        <f t="shared" si="395"/>
        <v>0</v>
      </c>
      <c r="K482" s="544">
        <f t="shared" si="395"/>
        <v>0</v>
      </c>
      <c r="L482" s="544">
        <f t="shared" si="395"/>
        <v>0</v>
      </c>
      <c r="M482" s="544">
        <f t="shared" si="395"/>
        <v>0</v>
      </c>
      <c r="N482" s="544">
        <f t="shared" si="395"/>
        <v>0</v>
      </c>
      <c r="O482" s="544">
        <f t="shared" si="395"/>
        <v>0</v>
      </c>
      <c r="P482" s="544">
        <f t="shared" si="395"/>
        <v>0</v>
      </c>
      <c r="Q482" s="544">
        <f t="shared" si="395"/>
        <v>0</v>
      </c>
      <c r="R482" s="544">
        <f t="shared" si="395"/>
        <v>0</v>
      </c>
      <c r="S482" s="544">
        <f t="shared" si="395"/>
        <v>0</v>
      </c>
      <c r="T482" s="544">
        <f t="shared" si="395"/>
        <v>0</v>
      </c>
      <c r="U482" s="544">
        <f t="shared" si="395"/>
        <v>0</v>
      </c>
      <c r="V482" s="544">
        <f t="shared" si="395"/>
        <v>0</v>
      </c>
      <c r="W482" s="544">
        <f t="shared" si="395"/>
        <v>0</v>
      </c>
      <c r="X482" s="544">
        <f t="shared" si="395"/>
        <v>0</v>
      </c>
      <c r="Y482" s="544">
        <f t="shared" si="395"/>
        <v>0</v>
      </c>
      <c r="Z482" s="544">
        <f t="shared" si="395"/>
        <v>0</v>
      </c>
      <c r="AA482" s="544">
        <f t="shared" si="395"/>
        <v>0</v>
      </c>
      <c r="AB482" s="544">
        <f t="shared" si="395"/>
        <v>0</v>
      </c>
      <c r="AC482" s="544">
        <f t="shared" si="395"/>
        <v>0</v>
      </c>
      <c r="AD482" s="544">
        <f t="shared" ref="AD482" si="396">+AD293</f>
        <v>0</v>
      </c>
      <c r="AE482" s="544">
        <f t="shared" si="395"/>
        <v>-212142643.35983646</v>
      </c>
      <c r="AF482" s="544">
        <f t="shared" si="395"/>
        <v>1154341.1600000001</v>
      </c>
      <c r="AG482" s="544">
        <f t="shared" si="395"/>
        <v>122407421.21765506</v>
      </c>
      <c r="AH482" s="544">
        <f t="shared" si="395"/>
        <v>43611657.550000012</v>
      </c>
      <c r="AI482" s="544">
        <f t="shared" si="395"/>
        <v>1774798.5898300002</v>
      </c>
      <c r="AJ482" s="544">
        <f t="shared" ref="AJ482" si="397">+AJ293</f>
        <v>44104526.972805083</v>
      </c>
      <c r="AK482" s="544">
        <f t="shared" ref="AK482:AL482" si="398">+AK293</f>
        <v>0</v>
      </c>
      <c r="AL482" s="544">
        <f t="shared" si="398"/>
        <v>0</v>
      </c>
      <c r="AM482" s="544">
        <f t="shared" ref="AM482:AO482" si="399">+AM293</f>
        <v>0</v>
      </c>
      <c r="AN482" s="544">
        <f t="shared" si="399"/>
        <v>0</v>
      </c>
      <c r="AO482" s="544">
        <f t="shared" si="399"/>
        <v>0</v>
      </c>
      <c r="AP482" s="544">
        <f t="shared" si="395"/>
        <v>0</v>
      </c>
      <c r="AQ482" s="544">
        <f t="shared" si="395"/>
        <v>-5437988.3141693044</v>
      </c>
      <c r="AR482" s="544">
        <f t="shared" si="395"/>
        <v>1152189.4358550543</v>
      </c>
      <c r="AS482" s="544">
        <f>+AS293</f>
        <v>0</v>
      </c>
      <c r="AT482" s="544">
        <f t="shared" ref="AT482:AZ482" si="400">+AT293</f>
        <v>0</v>
      </c>
      <c r="AU482" s="544">
        <f t="shared" si="400"/>
        <v>0</v>
      </c>
      <c r="AV482" s="544">
        <f t="shared" si="400"/>
        <v>0</v>
      </c>
      <c r="AW482" s="544">
        <f t="shared" si="400"/>
        <v>0</v>
      </c>
      <c r="AX482" s="544">
        <f t="shared" si="400"/>
        <v>0</v>
      </c>
      <c r="AY482" s="544">
        <f t="shared" si="400"/>
        <v>0</v>
      </c>
      <c r="AZ482" s="544">
        <f t="shared" si="400"/>
        <v>0</v>
      </c>
      <c r="BB482" s="544">
        <f t="shared" si="395"/>
        <v>-3375696.7478605136</v>
      </c>
      <c r="BC482" s="544">
        <f t="shared" si="395"/>
        <v>2863128296.2018123</v>
      </c>
      <c r="BD482" s="444"/>
      <c r="BF482" s="336"/>
    </row>
    <row r="483" spans="1:58" x14ac:dyDescent="0.35">
      <c r="B483" s="545" t="s">
        <v>187</v>
      </c>
      <c r="C483" s="797" t="s">
        <v>942</v>
      </c>
      <c r="D483" s="800">
        <f>+D309</f>
        <v>220104658.1433275</v>
      </c>
      <c r="E483" s="544">
        <f t="shared" ref="E483:BC483" si="401">+E309</f>
        <v>486743.00000000006</v>
      </c>
      <c r="F483" s="544">
        <f t="shared" si="401"/>
        <v>0</v>
      </c>
      <c r="G483" s="544">
        <f t="shared" si="401"/>
        <v>0</v>
      </c>
      <c r="H483" s="544">
        <f t="shared" si="401"/>
        <v>-244756.58282200919</v>
      </c>
      <c r="I483" s="544">
        <f t="shared" si="401"/>
        <v>-133591.88945507671</v>
      </c>
      <c r="J483" s="544">
        <f t="shared" si="401"/>
        <v>0</v>
      </c>
      <c r="K483" s="544">
        <f t="shared" si="401"/>
        <v>0</v>
      </c>
      <c r="L483" s="544">
        <f t="shared" si="401"/>
        <v>0</v>
      </c>
      <c r="M483" s="544">
        <f t="shared" si="401"/>
        <v>0</v>
      </c>
      <c r="N483" s="544">
        <f t="shared" si="401"/>
        <v>0</v>
      </c>
      <c r="O483" s="544">
        <f t="shared" si="401"/>
        <v>2018.9901818567189</v>
      </c>
      <c r="P483" s="544">
        <f t="shared" si="401"/>
        <v>0</v>
      </c>
      <c r="Q483" s="544">
        <f t="shared" si="401"/>
        <v>0</v>
      </c>
      <c r="R483" s="544">
        <f t="shared" si="401"/>
        <v>0</v>
      </c>
      <c r="S483" s="544">
        <f t="shared" si="401"/>
        <v>-1966485.8422657459</v>
      </c>
      <c r="T483" s="544">
        <f t="shared" si="401"/>
        <v>0</v>
      </c>
      <c r="U483" s="544">
        <f t="shared" si="401"/>
        <v>0</v>
      </c>
      <c r="V483" s="544">
        <f t="shared" si="401"/>
        <v>0</v>
      </c>
      <c r="W483" s="544">
        <f t="shared" si="401"/>
        <v>0</v>
      </c>
      <c r="X483" s="544">
        <f t="shared" si="401"/>
        <v>0</v>
      </c>
      <c r="Y483" s="544">
        <f t="shared" si="401"/>
        <v>0</v>
      </c>
      <c r="Z483" s="544">
        <f t="shared" si="401"/>
        <v>8078633.5371558303</v>
      </c>
      <c r="AA483" s="544">
        <f t="shared" si="401"/>
        <v>0</v>
      </c>
      <c r="AB483" s="544">
        <f t="shared" si="401"/>
        <v>0</v>
      </c>
      <c r="AC483" s="544">
        <f t="shared" si="401"/>
        <v>-1873999.7209310038</v>
      </c>
      <c r="AD483" s="544">
        <f t="shared" ref="AD483" si="402">+AD309</f>
        <v>0</v>
      </c>
      <c r="AE483" s="544">
        <f t="shared" si="401"/>
        <v>-30177391.188882951</v>
      </c>
      <c r="AF483" s="544">
        <f t="shared" si="401"/>
        <v>-546303.5384009569</v>
      </c>
      <c r="AG483" s="544">
        <f t="shared" si="401"/>
        <v>23041617.605685104</v>
      </c>
      <c r="AH483" s="544">
        <f t="shared" si="401"/>
        <v>6664989.5537931584</v>
      </c>
      <c r="AI483" s="544">
        <f t="shared" si="401"/>
        <v>428763.46467757924</v>
      </c>
      <c r="AJ483" s="544">
        <f t="shared" ref="AJ483" si="403">+AJ309</f>
        <v>13051422.248184377</v>
      </c>
      <c r="AK483" s="544">
        <f t="shared" ref="AK483:AL483" si="404">+AK309</f>
        <v>0</v>
      </c>
      <c r="AL483" s="544">
        <f t="shared" si="404"/>
        <v>0</v>
      </c>
      <c r="AM483" s="544">
        <f t="shared" ref="AM483:AO483" si="405">+AM309</f>
        <v>0</v>
      </c>
      <c r="AN483" s="544">
        <f t="shared" si="405"/>
        <v>0</v>
      </c>
      <c r="AO483" s="544">
        <f t="shared" si="405"/>
        <v>14802.096030236429</v>
      </c>
      <c r="AP483" s="544">
        <f t="shared" si="401"/>
        <v>0</v>
      </c>
      <c r="AQ483" s="544">
        <f t="shared" si="401"/>
        <v>-6595102.029050733</v>
      </c>
      <c r="AR483" s="544">
        <f t="shared" si="401"/>
        <v>-795376.3842863969</v>
      </c>
      <c r="AS483" s="544">
        <f>+AS309</f>
        <v>4035115.7431653924</v>
      </c>
      <c r="AT483" s="544">
        <f t="shared" ref="AT483:AZ483" si="406">+AT309</f>
        <v>0</v>
      </c>
      <c r="AU483" s="544">
        <f t="shared" si="406"/>
        <v>0</v>
      </c>
      <c r="AV483" s="544">
        <f t="shared" si="406"/>
        <v>0</v>
      </c>
      <c r="AW483" s="544">
        <f t="shared" si="406"/>
        <v>0</v>
      </c>
      <c r="AX483" s="544">
        <f t="shared" si="406"/>
        <v>0</v>
      </c>
      <c r="AY483" s="544">
        <f t="shared" si="406"/>
        <v>0</v>
      </c>
      <c r="AZ483" s="544">
        <f t="shared" si="406"/>
        <v>0</v>
      </c>
      <c r="BB483" s="544">
        <f t="shared" si="401"/>
        <v>14543724.76665807</v>
      </c>
      <c r="BC483" s="544">
        <f t="shared" si="401"/>
        <v>234648942.38336164</v>
      </c>
      <c r="BD483" s="444"/>
      <c r="BF483" s="336"/>
    </row>
    <row r="484" spans="1:58" hidden="1" outlineLevel="1" x14ac:dyDescent="0.35">
      <c r="B484" s="540" t="s">
        <v>940</v>
      </c>
      <c r="C484" s="541" t="s">
        <v>943</v>
      </c>
      <c r="D484" s="799">
        <f>+D352</f>
        <v>0</v>
      </c>
      <c r="E484" s="542">
        <f t="shared" ref="E484:BC484" si="407">+E352</f>
        <v>0</v>
      </c>
      <c r="F484" s="542">
        <f t="shared" si="407"/>
        <v>0</v>
      </c>
      <c r="G484" s="542">
        <f t="shared" si="407"/>
        <v>0</v>
      </c>
      <c r="H484" s="542">
        <f t="shared" si="407"/>
        <v>0</v>
      </c>
      <c r="I484" s="542">
        <f t="shared" si="407"/>
        <v>0</v>
      </c>
      <c r="J484" s="542">
        <f t="shared" si="407"/>
        <v>0</v>
      </c>
      <c r="K484" s="542">
        <f t="shared" si="407"/>
        <v>0</v>
      </c>
      <c r="L484" s="542">
        <f t="shared" si="407"/>
        <v>0</v>
      </c>
      <c r="M484" s="542">
        <f t="shared" si="407"/>
        <v>0</v>
      </c>
      <c r="N484" s="542">
        <f t="shared" si="407"/>
        <v>0</v>
      </c>
      <c r="O484" s="542">
        <f t="shared" si="407"/>
        <v>0</v>
      </c>
      <c r="P484" s="542">
        <f t="shared" si="407"/>
        <v>0</v>
      </c>
      <c r="Q484" s="542">
        <f t="shared" si="407"/>
        <v>0</v>
      </c>
      <c r="R484" s="542">
        <f t="shared" si="407"/>
        <v>0</v>
      </c>
      <c r="S484" s="542">
        <f t="shared" si="407"/>
        <v>0</v>
      </c>
      <c r="T484" s="542">
        <f t="shared" si="407"/>
        <v>0</v>
      </c>
      <c r="U484" s="542">
        <f t="shared" si="407"/>
        <v>0</v>
      </c>
      <c r="V484" s="542">
        <f t="shared" si="407"/>
        <v>0</v>
      </c>
      <c r="W484" s="542">
        <f t="shared" si="407"/>
        <v>0</v>
      </c>
      <c r="X484" s="542">
        <f t="shared" si="407"/>
        <v>0</v>
      </c>
      <c r="Y484" s="542">
        <f t="shared" si="407"/>
        <v>0</v>
      </c>
      <c r="Z484" s="542">
        <f t="shared" si="407"/>
        <v>0</v>
      </c>
      <c r="AA484" s="542">
        <f t="shared" si="407"/>
        <v>0</v>
      </c>
      <c r="AB484" s="542">
        <f t="shared" si="407"/>
        <v>0</v>
      </c>
      <c r="AC484" s="542">
        <f t="shared" si="407"/>
        <v>0</v>
      </c>
      <c r="AD484" s="542">
        <f t="shared" ref="AD484" si="408">+AD352</f>
        <v>0</v>
      </c>
      <c r="AE484" s="542">
        <f t="shared" si="407"/>
        <v>0</v>
      </c>
      <c r="AF484" s="542">
        <f t="shared" si="407"/>
        <v>0</v>
      </c>
      <c r="AG484" s="542">
        <f t="shared" si="407"/>
        <v>0</v>
      </c>
      <c r="AH484" s="542">
        <f t="shared" si="407"/>
        <v>0</v>
      </c>
      <c r="AI484" s="542">
        <f t="shared" si="407"/>
        <v>0</v>
      </c>
      <c r="AJ484" s="542">
        <f t="shared" ref="AJ484" si="409">+AJ352</f>
        <v>0</v>
      </c>
      <c r="AK484" s="542">
        <f t="shared" ref="AK484:AL484" si="410">+AK352</f>
        <v>0</v>
      </c>
      <c r="AL484" s="542">
        <f t="shared" si="410"/>
        <v>0</v>
      </c>
      <c r="AM484" s="542">
        <f t="shared" ref="AM484:AO484" si="411">+AM352</f>
        <v>0</v>
      </c>
      <c r="AN484" s="542">
        <f t="shared" si="411"/>
        <v>0</v>
      </c>
      <c r="AO484" s="542">
        <f t="shared" si="411"/>
        <v>0</v>
      </c>
      <c r="AP484" s="542">
        <f t="shared" si="407"/>
        <v>0</v>
      </c>
      <c r="AQ484" s="542">
        <f t="shared" si="407"/>
        <v>0</v>
      </c>
      <c r="AR484" s="542">
        <f t="shared" si="407"/>
        <v>0</v>
      </c>
      <c r="AS484" s="542">
        <f>+AS352</f>
        <v>0</v>
      </c>
      <c r="AT484" s="542">
        <f t="shared" ref="AT484:AZ484" si="412">+AT352</f>
        <v>0</v>
      </c>
      <c r="AU484" s="542">
        <f t="shared" si="412"/>
        <v>0</v>
      </c>
      <c r="AV484" s="542">
        <f t="shared" si="412"/>
        <v>0</v>
      </c>
      <c r="AW484" s="542">
        <f t="shared" si="412"/>
        <v>0</v>
      </c>
      <c r="AX484" s="542">
        <f t="shared" si="412"/>
        <v>0</v>
      </c>
      <c r="AY484" s="542">
        <f t="shared" si="412"/>
        <v>0</v>
      </c>
      <c r="AZ484" s="542">
        <f t="shared" si="412"/>
        <v>0</v>
      </c>
      <c r="BB484" s="542">
        <f t="shared" si="407"/>
        <v>0</v>
      </c>
      <c r="BC484" s="542">
        <f t="shared" si="407"/>
        <v>0</v>
      </c>
      <c r="BD484" s="444"/>
      <c r="BF484" s="336"/>
    </row>
    <row r="485" spans="1:58" hidden="1" outlineLevel="1" x14ac:dyDescent="0.35">
      <c r="B485" s="543" t="s">
        <v>132</v>
      </c>
      <c r="C485" s="796" t="s">
        <v>943</v>
      </c>
      <c r="D485" s="800">
        <f>+D354</f>
        <v>0</v>
      </c>
      <c r="E485" s="544">
        <f t="shared" ref="E485:BC485" si="413">+E354</f>
        <v>0</v>
      </c>
      <c r="F485" s="544">
        <f t="shared" si="413"/>
        <v>0</v>
      </c>
      <c r="G485" s="544">
        <f t="shared" si="413"/>
        <v>0</v>
      </c>
      <c r="H485" s="544">
        <f t="shared" si="413"/>
        <v>0</v>
      </c>
      <c r="I485" s="544">
        <f t="shared" si="413"/>
        <v>0</v>
      </c>
      <c r="J485" s="544">
        <f t="shared" si="413"/>
        <v>0</v>
      </c>
      <c r="K485" s="544">
        <f t="shared" si="413"/>
        <v>0</v>
      </c>
      <c r="L485" s="544">
        <f t="shared" si="413"/>
        <v>0</v>
      </c>
      <c r="M485" s="544">
        <f t="shared" si="413"/>
        <v>0</v>
      </c>
      <c r="N485" s="544">
        <f t="shared" si="413"/>
        <v>0</v>
      </c>
      <c r="O485" s="544">
        <f t="shared" si="413"/>
        <v>0</v>
      </c>
      <c r="P485" s="544">
        <f t="shared" si="413"/>
        <v>0</v>
      </c>
      <c r="Q485" s="544">
        <f t="shared" si="413"/>
        <v>0</v>
      </c>
      <c r="R485" s="544">
        <f t="shared" si="413"/>
        <v>0</v>
      </c>
      <c r="S485" s="544">
        <f t="shared" si="413"/>
        <v>0</v>
      </c>
      <c r="T485" s="544">
        <f t="shared" si="413"/>
        <v>0</v>
      </c>
      <c r="U485" s="544">
        <f t="shared" si="413"/>
        <v>0</v>
      </c>
      <c r="V485" s="544">
        <f t="shared" si="413"/>
        <v>0</v>
      </c>
      <c r="W485" s="544">
        <f t="shared" si="413"/>
        <v>0</v>
      </c>
      <c r="X485" s="544">
        <f t="shared" si="413"/>
        <v>0</v>
      </c>
      <c r="Y485" s="544">
        <f t="shared" si="413"/>
        <v>0</v>
      </c>
      <c r="Z485" s="544">
        <f t="shared" si="413"/>
        <v>0</v>
      </c>
      <c r="AA485" s="544">
        <f t="shared" si="413"/>
        <v>0</v>
      </c>
      <c r="AB485" s="544">
        <f t="shared" si="413"/>
        <v>0</v>
      </c>
      <c r="AC485" s="544">
        <f t="shared" si="413"/>
        <v>0</v>
      </c>
      <c r="AD485" s="544">
        <f t="shared" ref="AD485" si="414">+AD354</f>
        <v>0</v>
      </c>
      <c r="AE485" s="544">
        <f t="shared" si="413"/>
        <v>0</v>
      </c>
      <c r="AF485" s="544">
        <f t="shared" si="413"/>
        <v>0</v>
      </c>
      <c r="AG485" s="544">
        <f t="shared" si="413"/>
        <v>0</v>
      </c>
      <c r="AH485" s="544">
        <f t="shared" si="413"/>
        <v>0</v>
      </c>
      <c r="AI485" s="544">
        <f t="shared" si="413"/>
        <v>0</v>
      </c>
      <c r="AJ485" s="544">
        <f t="shared" ref="AJ485" si="415">+AJ354</f>
        <v>0</v>
      </c>
      <c r="AK485" s="544">
        <f t="shared" ref="AK485:AL485" si="416">+AK354</f>
        <v>0</v>
      </c>
      <c r="AL485" s="544">
        <f t="shared" si="416"/>
        <v>0</v>
      </c>
      <c r="AM485" s="544">
        <f t="shared" ref="AM485:AO485" si="417">+AM354</f>
        <v>0</v>
      </c>
      <c r="AN485" s="544">
        <f t="shared" si="417"/>
        <v>0</v>
      </c>
      <c r="AO485" s="544">
        <f t="shared" si="417"/>
        <v>0</v>
      </c>
      <c r="AP485" s="544">
        <f t="shared" si="413"/>
        <v>0</v>
      </c>
      <c r="AQ485" s="544">
        <f t="shared" si="413"/>
        <v>0</v>
      </c>
      <c r="AR485" s="544">
        <f t="shared" si="413"/>
        <v>0</v>
      </c>
      <c r="AS485" s="544">
        <f>+AS354</f>
        <v>0</v>
      </c>
      <c r="AT485" s="544">
        <f t="shared" ref="AT485:AZ485" si="418">+AT354</f>
        <v>0</v>
      </c>
      <c r="AU485" s="544">
        <f t="shared" si="418"/>
        <v>0</v>
      </c>
      <c r="AV485" s="544">
        <f t="shared" si="418"/>
        <v>0</v>
      </c>
      <c r="AW485" s="544">
        <f t="shared" si="418"/>
        <v>0</v>
      </c>
      <c r="AX485" s="544">
        <f t="shared" si="418"/>
        <v>0</v>
      </c>
      <c r="AY485" s="544">
        <f t="shared" si="418"/>
        <v>0</v>
      </c>
      <c r="AZ485" s="544">
        <f t="shared" si="418"/>
        <v>0</v>
      </c>
      <c r="BB485" s="544">
        <f t="shared" si="413"/>
        <v>0</v>
      </c>
      <c r="BC485" s="544">
        <f t="shared" si="413"/>
        <v>0</v>
      </c>
      <c r="BD485" s="444"/>
      <c r="BF485" s="336"/>
    </row>
    <row r="486" spans="1:58" hidden="1" outlineLevel="1" x14ac:dyDescent="0.35">
      <c r="B486" s="545" t="s">
        <v>187</v>
      </c>
      <c r="C486" s="797" t="s">
        <v>943</v>
      </c>
      <c r="D486" s="800">
        <f>+D370</f>
        <v>0</v>
      </c>
      <c r="E486" s="544">
        <f t="shared" ref="E486:BC486" si="419">+E370</f>
        <v>0</v>
      </c>
      <c r="F486" s="544">
        <f t="shared" si="419"/>
        <v>0</v>
      </c>
      <c r="G486" s="544">
        <f t="shared" si="419"/>
        <v>0</v>
      </c>
      <c r="H486" s="544">
        <f t="shared" si="419"/>
        <v>0</v>
      </c>
      <c r="I486" s="544">
        <f t="shared" si="419"/>
        <v>0</v>
      </c>
      <c r="J486" s="544">
        <f t="shared" si="419"/>
        <v>0</v>
      </c>
      <c r="K486" s="544">
        <f t="shared" si="419"/>
        <v>0</v>
      </c>
      <c r="L486" s="544">
        <f t="shared" si="419"/>
        <v>0</v>
      </c>
      <c r="M486" s="544">
        <f t="shared" si="419"/>
        <v>0</v>
      </c>
      <c r="N486" s="544">
        <f t="shared" si="419"/>
        <v>0</v>
      </c>
      <c r="O486" s="544">
        <f t="shared" si="419"/>
        <v>0</v>
      </c>
      <c r="P486" s="544">
        <f t="shared" si="419"/>
        <v>0</v>
      </c>
      <c r="Q486" s="544">
        <f t="shared" si="419"/>
        <v>0</v>
      </c>
      <c r="R486" s="544">
        <f t="shared" si="419"/>
        <v>0</v>
      </c>
      <c r="S486" s="544">
        <f t="shared" si="419"/>
        <v>0</v>
      </c>
      <c r="T486" s="544">
        <f t="shared" si="419"/>
        <v>0</v>
      </c>
      <c r="U486" s="544">
        <f t="shared" si="419"/>
        <v>0</v>
      </c>
      <c r="V486" s="544">
        <f t="shared" si="419"/>
        <v>0</v>
      </c>
      <c r="W486" s="544">
        <f t="shared" si="419"/>
        <v>0</v>
      </c>
      <c r="X486" s="544">
        <f t="shared" si="419"/>
        <v>0</v>
      </c>
      <c r="Y486" s="544">
        <f t="shared" si="419"/>
        <v>0</v>
      </c>
      <c r="Z486" s="544">
        <f t="shared" si="419"/>
        <v>0</v>
      </c>
      <c r="AA486" s="544">
        <f t="shared" si="419"/>
        <v>0</v>
      </c>
      <c r="AB486" s="544">
        <f t="shared" si="419"/>
        <v>0</v>
      </c>
      <c r="AC486" s="544">
        <f t="shared" si="419"/>
        <v>0</v>
      </c>
      <c r="AD486" s="544">
        <f t="shared" ref="AD486" si="420">+AD370</f>
        <v>0</v>
      </c>
      <c r="AE486" s="544">
        <f t="shared" si="419"/>
        <v>0</v>
      </c>
      <c r="AF486" s="544">
        <f t="shared" si="419"/>
        <v>0</v>
      </c>
      <c r="AG486" s="544">
        <f t="shared" si="419"/>
        <v>0</v>
      </c>
      <c r="AH486" s="544">
        <f t="shared" si="419"/>
        <v>0</v>
      </c>
      <c r="AI486" s="544">
        <f t="shared" si="419"/>
        <v>0</v>
      </c>
      <c r="AJ486" s="544">
        <f t="shared" ref="AJ486" si="421">+AJ370</f>
        <v>0</v>
      </c>
      <c r="AK486" s="544">
        <f t="shared" ref="AK486:AL486" si="422">+AK370</f>
        <v>0</v>
      </c>
      <c r="AL486" s="544">
        <f t="shared" si="422"/>
        <v>0</v>
      </c>
      <c r="AM486" s="544">
        <f t="shared" ref="AM486:AO486" si="423">+AM370</f>
        <v>0</v>
      </c>
      <c r="AN486" s="544">
        <f t="shared" si="423"/>
        <v>0</v>
      </c>
      <c r="AO486" s="544">
        <f t="shared" si="423"/>
        <v>0</v>
      </c>
      <c r="AP486" s="544">
        <f t="shared" si="419"/>
        <v>0</v>
      </c>
      <c r="AQ486" s="544">
        <f t="shared" si="419"/>
        <v>0</v>
      </c>
      <c r="AR486" s="544">
        <f t="shared" si="419"/>
        <v>0</v>
      </c>
      <c r="AS486" s="544" t="e">
        <f>+AS370</f>
        <v>#VALUE!</v>
      </c>
      <c r="AT486" s="544">
        <f t="shared" ref="AT486:AZ486" si="424">+AT370</f>
        <v>0</v>
      </c>
      <c r="AU486" s="544">
        <f t="shared" si="424"/>
        <v>0</v>
      </c>
      <c r="AV486" s="544">
        <f t="shared" si="424"/>
        <v>0</v>
      </c>
      <c r="AW486" s="544">
        <f t="shared" si="424"/>
        <v>0</v>
      </c>
      <c r="AX486" s="544">
        <f t="shared" si="424"/>
        <v>0</v>
      </c>
      <c r="AY486" s="544">
        <f t="shared" si="424"/>
        <v>0</v>
      </c>
      <c r="AZ486" s="544">
        <f t="shared" si="424"/>
        <v>0</v>
      </c>
      <c r="BB486" s="544" t="e">
        <f t="shared" si="419"/>
        <v>#VALUE!</v>
      </c>
      <c r="BC486" s="544">
        <f t="shared" si="419"/>
        <v>0</v>
      </c>
      <c r="BD486" s="444"/>
      <c r="BF486" s="336"/>
    </row>
    <row r="487" spans="1:58" hidden="1" outlineLevel="1" x14ac:dyDescent="0.35">
      <c r="B487" s="540" t="s">
        <v>940</v>
      </c>
      <c r="C487" s="541" t="s">
        <v>944</v>
      </c>
      <c r="D487" s="799">
        <f>+D413</f>
        <v>0</v>
      </c>
      <c r="E487" s="542">
        <f t="shared" ref="E487:BC487" si="425">+E413</f>
        <v>0</v>
      </c>
      <c r="F487" s="542">
        <f t="shared" si="425"/>
        <v>0</v>
      </c>
      <c r="G487" s="542">
        <f t="shared" si="425"/>
        <v>0</v>
      </c>
      <c r="H487" s="542">
        <f t="shared" si="425"/>
        <v>0</v>
      </c>
      <c r="I487" s="542">
        <f t="shared" si="425"/>
        <v>0</v>
      </c>
      <c r="J487" s="542">
        <f t="shared" si="425"/>
        <v>0</v>
      </c>
      <c r="K487" s="542">
        <f t="shared" si="425"/>
        <v>0</v>
      </c>
      <c r="L487" s="542">
        <f t="shared" si="425"/>
        <v>0</v>
      </c>
      <c r="M487" s="542">
        <f t="shared" si="425"/>
        <v>0</v>
      </c>
      <c r="N487" s="542">
        <f t="shared" si="425"/>
        <v>0</v>
      </c>
      <c r="O487" s="542">
        <f t="shared" si="425"/>
        <v>0</v>
      </c>
      <c r="P487" s="542">
        <f t="shared" si="425"/>
        <v>0</v>
      </c>
      <c r="Q487" s="542">
        <f t="shared" si="425"/>
        <v>0</v>
      </c>
      <c r="R487" s="542">
        <f t="shared" si="425"/>
        <v>0</v>
      </c>
      <c r="S487" s="542">
        <f t="shared" si="425"/>
        <v>0</v>
      </c>
      <c r="T487" s="542">
        <f t="shared" si="425"/>
        <v>0</v>
      </c>
      <c r="U487" s="542">
        <f t="shared" si="425"/>
        <v>0</v>
      </c>
      <c r="V487" s="542">
        <f t="shared" si="425"/>
        <v>0</v>
      </c>
      <c r="W487" s="542">
        <f t="shared" si="425"/>
        <v>0</v>
      </c>
      <c r="X487" s="542">
        <f t="shared" si="425"/>
        <v>0</v>
      </c>
      <c r="Y487" s="542">
        <f t="shared" si="425"/>
        <v>0</v>
      </c>
      <c r="Z487" s="542">
        <f t="shared" si="425"/>
        <v>0</v>
      </c>
      <c r="AA487" s="542">
        <f t="shared" si="425"/>
        <v>0</v>
      </c>
      <c r="AB487" s="542">
        <f t="shared" si="425"/>
        <v>0</v>
      </c>
      <c r="AC487" s="542">
        <f t="shared" si="425"/>
        <v>0</v>
      </c>
      <c r="AD487" s="542">
        <f t="shared" ref="AD487" si="426">+AD413</f>
        <v>0</v>
      </c>
      <c r="AE487" s="542">
        <f t="shared" si="425"/>
        <v>0</v>
      </c>
      <c r="AF487" s="542">
        <f t="shared" si="425"/>
        <v>0</v>
      </c>
      <c r="AG487" s="542">
        <f t="shared" si="425"/>
        <v>0</v>
      </c>
      <c r="AH487" s="542">
        <f t="shared" si="425"/>
        <v>0</v>
      </c>
      <c r="AI487" s="542">
        <f t="shared" si="425"/>
        <v>0</v>
      </c>
      <c r="AJ487" s="542">
        <f t="shared" ref="AJ487" si="427">+AJ413</f>
        <v>0</v>
      </c>
      <c r="AK487" s="542">
        <f t="shared" ref="AK487:AL487" si="428">+AK413</f>
        <v>0</v>
      </c>
      <c r="AL487" s="542">
        <f t="shared" si="428"/>
        <v>0</v>
      </c>
      <c r="AM487" s="542">
        <f t="shared" ref="AM487:AO487" si="429">+AM413</f>
        <v>0</v>
      </c>
      <c r="AN487" s="542">
        <f t="shared" si="429"/>
        <v>0</v>
      </c>
      <c r="AO487" s="542">
        <f t="shared" si="429"/>
        <v>0</v>
      </c>
      <c r="AP487" s="542">
        <f t="shared" si="425"/>
        <v>0</v>
      </c>
      <c r="AQ487" s="542">
        <f t="shared" si="425"/>
        <v>0</v>
      </c>
      <c r="AR487" s="542">
        <f t="shared" si="425"/>
        <v>0</v>
      </c>
      <c r="AS487" s="542">
        <f>+AS413</f>
        <v>0</v>
      </c>
      <c r="AT487" s="542">
        <f t="shared" ref="AT487:AZ487" si="430">+AT413</f>
        <v>0</v>
      </c>
      <c r="AU487" s="542">
        <f t="shared" si="430"/>
        <v>0</v>
      </c>
      <c r="AV487" s="542">
        <f t="shared" si="430"/>
        <v>0</v>
      </c>
      <c r="AW487" s="542">
        <f t="shared" si="430"/>
        <v>0</v>
      </c>
      <c r="AX487" s="542">
        <f t="shared" si="430"/>
        <v>0</v>
      </c>
      <c r="AY487" s="542">
        <f t="shared" si="430"/>
        <v>0</v>
      </c>
      <c r="AZ487" s="542">
        <f t="shared" si="430"/>
        <v>0</v>
      </c>
      <c r="BB487" s="542">
        <f t="shared" si="425"/>
        <v>0</v>
      </c>
      <c r="BC487" s="542">
        <f t="shared" si="425"/>
        <v>0</v>
      </c>
      <c r="BD487" s="444"/>
      <c r="BF487" s="336"/>
    </row>
    <row r="488" spans="1:58" hidden="1" outlineLevel="1" x14ac:dyDescent="0.35">
      <c r="B488" s="543" t="s">
        <v>132</v>
      </c>
      <c r="C488" s="796" t="s">
        <v>944</v>
      </c>
      <c r="D488" s="800">
        <f>+D415</f>
        <v>0</v>
      </c>
      <c r="E488" s="544">
        <f t="shared" ref="E488:BC488" si="431">+E415</f>
        <v>0</v>
      </c>
      <c r="F488" s="544">
        <f t="shared" si="431"/>
        <v>0</v>
      </c>
      <c r="G488" s="544">
        <f t="shared" si="431"/>
        <v>0</v>
      </c>
      <c r="H488" s="544">
        <f t="shared" si="431"/>
        <v>0</v>
      </c>
      <c r="I488" s="544">
        <f t="shared" si="431"/>
        <v>0</v>
      </c>
      <c r="J488" s="544">
        <f t="shared" si="431"/>
        <v>0</v>
      </c>
      <c r="K488" s="544">
        <f t="shared" si="431"/>
        <v>0</v>
      </c>
      <c r="L488" s="544">
        <f t="shared" si="431"/>
        <v>0</v>
      </c>
      <c r="M488" s="544">
        <f t="shared" si="431"/>
        <v>0</v>
      </c>
      <c r="N488" s="544">
        <f t="shared" si="431"/>
        <v>0</v>
      </c>
      <c r="O488" s="544">
        <f t="shared" si="431"/>
        <v>0</v>
      </c>
      <c r="P488" s="544">
        <f t="shared" si="431"/>
        <v>0</v>
      </c>
      <c r="Q488" s="544">
        <f t="shared" si="431"/>
        <v>0</v>
      </c>
      <c r="R488" s="544">
        <f t="shared" si="431"/>
        <v>0</v>
      </c>
      <c r="S488" s="544">
        <f t="shared" si="431"/>
        <v>0</v>
      </c>
      <c r="T488" s="544">
        <f t="shared" si="431"/>
        <v>0</v>
      </c>
      <c r="U488" s="544">
        <f t="shared" si="431"/>
        <v>0</v>
      </c>
      <c r="V488" s="544">
        <f t="shared" si="431"/>
        <v>0</v>
      </c>
      <c r="W488" s="544">
        <f t="shared" si="431"/>
        <v>0</v>
      </c>
      <c r="X488" s="544">
        <f t="shared" si="431"/>
        <v>0</v>
      </c>
      <c r="Y488" s="544">
        <f t="shared" si="431"/>
        <v>0</v>
      </c>
      <c r="Z488" s="544">
        <f t="shared" si="431"/>
        <v>0</v>
      </c>
      <c r="AA488" s="544">
        <f t="shared" si="431"/>
        <v>0</v>
      </c>
      <c r="AB488" s="544">
        <f t="shared" si="431"/>
        <v>0</v>
      </c>
      <c r="AC488" s="544">
        <f t="shared" si="431"/>
        <v>0</v>
      </c>
      <c r="AD488" s="544">
        <f t="shared" ref="AD488" si="432">+AD415</f>
        <v>0</v>
      </c>
      <c r="AE488" s="544">
        <f t="shared" si="431"/>
        <v>0</v>
      </c>
      <c r="AF488" s="544">
        <f t="shared" si="431"/>
        <v>0</v>
      </c>
      <c r="AG488" s="544">
        <f t="shared" si="431"/>
        <v>0</v>
      </c>
      <c r="AH488" s="544">
        <f t="shared" si="431"/>
        <v>0</v>
      </c>
      <c r="AI488" s="544">
        <f t="shared" si="431"/>
        <v>0</v>
      </c>
      <c r="AJ488" s="544">
        <f t="shared" ref="AJ488" si="433">+AJ415</f>
        <v>0</v>
      </c>
      <c r="AK488" s="544">
        <f t="shared" ref="AK488:AL488" si="434">+AK415</f>
        <v>0</v>
      </c>
      <c r="AL488" s="544">
        <f t="shared" si="434"/>
        <v>0</v>
      </c>
      <c r="AM488" s="544">
        <f t="shared" ref="AM488:AO488" si="435">+AM415</f>
        <v>0</v>
      </c>
      <c r="AN488" s="544">
        <f t="shared" si="435"/>
        <v>0</v>
      </c>
      <c r="AO488" s="544">
        <f t="shared" si="435"/>
        <v>0</v>
      </c>
      <c r="AP488" s="544">
        <f t="shared" si="431"/>
        <v>0</v>
      </c>
      <c r="AQ488" s="544">
        <f t="shared" si="431"/>
        <v>0</v>
      </c>
      <c r="AR488" s="544">
        <f t="shared" si="431"/>
        <v>0</v>
      </c>
      <c r="AS488" s="544">
        <f>+AS415</f>
        <v>0</v>
      </c>
      <c r="AT488" s="544">
        <f t="shared" ref="AT488:AZ488" si="436">+AT415</f>
        <v>0</v>
      </c>
      <c r="AU488" s="544">
        <f t="shared" si="436"/>
        <v>0</v>
      </c>
      <c r="AV488" s="544">
        <f t="shared" si="436"/>
        <v>0</v>
      </c>
      <c r="AW488" s="544">
        <f t="shared" si="436"/>
        <v>0</v>
      </c>
      <c r="AX488" s="544">
        <f t="shared" si="436"/>
        <v>0</v>
      </c>
      <c r="AY488" s="544">
        <f t="shared" si="436"/>
        <v>0</v>
      </c>
      <c r="AZ488" s="544">
        <f t="shared" si="436"/>
        <v>0</v>
      </c>
      <c r="BB488" s="544">
        <f t="shared" si="431"/>
        <v>0</v>
      </c>
      <c r="BC488" s="544">
        <f t="shared" si="431"/>
        <v>0</v>
      </c>
      <c r="BD488" s="444"/>
      <c r="BF488" s="336"/>
    </row>
    <row r="489" spans="1:58" hidden="1" outlineLevel="1" x14ac:dyDescent="0.35">
      <c r="B489" s="545" t="s">
        <v>187</v>
      </c>
      <c r="C489" s="797" t="s">
        <v>944</v>
      </c>
      <c r="D489" s="800">
        <f>+D431</f>
        <v>0</v>
      </c>
      <c r="E489" s="544">
        <f t="shared" ref="E489:BC489" si="437">+E431</f>
        <v>0</v>
      </c>
      <c r="F489" s="544">
        <f t="shared" si="437"/>
        <v>0</v>
      </c>
      <c r="G489" s="544">
        <f t="shared" si="437"/>
        <v>0</v>
      </c>
      <c r="H489" s="544">
        <f t="shared" si="437"/>
        <v>0</v>
      </c>
      <c r="I489" s="544">
        <f t="shared" si="437"/>
        <v>0</v>
      </c>
      <c r="J489" s="544">
        <f t="shared" si="437"/>
        <v>0</v>
      </c>
      <c r="K489" s="544">
        <f t="shared" si="437"/>
        <v>0</v>
      </c>
      <c r="L489" s="544">
        <f t="shared" si="437"/>
        <v>0</v>
      </c>
      <c r="M489" s="544">
        <f t="shared" si="437"/>
        <v>0</v>
      </c>
      <c r="N489" s="544">
        <f t="shared" si="437"/>
        <v>0</v>
      </c>
      <c r="O489" s="544">
        <f t="shared" si="437"/>
        <v>0</v>
      </c>
      <c r="P489" s="544">
        <f t="shared" si="437"/>
        <v>0</v>
      </c>
      <c r="Q489" s="544">
        <f t="shared" si="437"/>
        <v>0</v>
      </c>
      <c r="R489" s="544">
        <f t="shared" si="437"/>
        <v>0</v>
      </c>
      <c r="S489" s="544">
        <f t="shared" si="437"/>
        <v>0</v>
      </c>
      <c r="T489" s="544">
        <f t="shared" si="437"/>
        <v>0</v>
      </c>
      <c r="U489" s="544">
        <f t="shared" si="437"/>
        <v>0</v>
      </c>
      <c r="V489" s="544">
        <f t="shared" si="437"/>
        <v>0</v>
      </c>
      <c r="W489" s="544">
        <f t="shared" si="437"/>
        <v>0</v>
      </c>
      <c r="X489" s="544">
        <f t="shared" si="437"/>
        <v>0</v>
      </c>
      <c r="Y489" s="544">
        <f t="shared" si="437"/>
        <v>0</v>
      </c>
      <c r="Z489" s="544">
        <f t="shared" si="437"/>
        <v>0</v>
      </c>
      <c r="AA489" s="544">
        <f t="shared" si="437"/>
        <v>0</v>
      </c>
      <c r="AB489" s="544">
        <f t="shared" si="437"/>
        <v>0</v>
      </c>
      <c r="AC489" s="544">
        <f t="shared" si="437"/>
        <v>0</v>
      </c>
      <c r="AD489" s="544">
        <f t="shared" ref="AD489" si="438">+AD431</f>
        <v>0</v>
      </c>
      <c r="AE489" s="544">
        <f t="shared" si="437"/>
        <v>0</v>
      </c>
      <c r="AF489" s="544">
        <f t="shared" si="437"/>
        <v>0</v>
      </c>
      <c r="AG489" s="544">
        <f t="shared" si="437"/>
        <v>0</v>
      </c>
      <c r="AH489" s="544">
        <f t="shared" si="437"/>
        <v>0</v>
      </c>
      <c r="AI489" s="544">
        <f t="shared" si="437"/>
        <v>0</v>
      </c>
      <c r="AJ489" s="544">
        <f t="shared" ref="AJ489" si="439">+AJ431</f>
        <v>0</v>
      </c>
      <c r="AK489" s="544">
        <f t="shared" ref="AK489:AL489" si="440">+AK431</f>
        <v>0</v>
      </c>
      <c r="AL489" s="544">
        <f t="shared" si="440"/>
        <v>0</v>
      </c>
      <c r="AM489" s="544">
        <f t="shared" ref="AM489:AO489" si="441">+AM431</f>
        <v>0</v>
      </c>
      <c r="AN489" s="544">
        <f t="shared" si="441"/>
        <v>0</v>
      </c>
      <c r="AO489" s="544">
        <f t="shared" si="441"/>
        <v>0</v>
      </c>
      <c r="AP489" s="544">
        <f t="shared" si="437"/>
        <v>0</v>
      </c>
      <c r="AQ489" s="544">
        <f t="shared" si="437"/>
        <v>0</v>
      </c>
      <c r="AR489" s="544">
        <f t="shared" si="437"/>
        <v>0</v>
      </c>
      <c r="AS489" s="544" t="e">
        <f>+AS431</f>
        <v>#VALUE!</v>
      </c>
      <c r="AT489" s="544">
        <f t="shared" ref="AT489:AZ489" si="442">+AT431</f>
        <v>0</v>
      </c>
      <c r="AU489" s="544">
        <f t="shared" si="442"/>
        <v>0</v>
      </c>
      <c r="AV489" s="544">
        <f t="shared" si="442"/>
        <v>0</v>
      </c>
      <c r="AW489" s="544">
        <f t="shared" si="442"/>
        <v>0</v>
      </c>
      <c r="AX489" s="544">
        <f t="shared" si="442"/>
        <v>0</v>
      </c>
      <c r="AY489" s="544">
        <f t="shared" si="442"/>
        <v>0</v>
      </c>
      <c r="AZ489" s="544">
        <f t="shared" si="442"/>
        <v>0</v>
      </c>
      <c r="BB489" s="544" t="e">
        <f t="shared" si="437"/>
        <v>#VALUE!</v>
      </c>
      <c r="BC489" s="544">
        <f t="shared" si="437"/>
        <v>0</v>
      </c>
      <c r="BD489" s="444"/>
      <c r="BF489" s="336"/>
    </row>
    <row r="490" spans="1:58" collapsed="1" x14ac:dyDescent="0.35">
      <c r="B490" s="526" t="s">
        <v>960</v>
      </c>
      <c r="C490" s="527"/>
      <c r="D490" s="527"/>
      <c r="E490" s="527"/>
      <c r="F490" s="527"/>
      <c r="G490" s="527"/>
      <c r="H490" s="527"/>
      <c r="I490" s="527"/>
      <c r="J490" s="527"/>
      <c r="K490" s="527"/>
      <c r="L490" s="527"/>
      <c r="M490" s="527"/>
      <c r="N490" s="527"/>
      <c r="O490" s="527"/>
      <c r="P490" s="527"/>
      <c r="Q490" s="527"/>
      <c r="R490" s="527"/>
      <c r="S490" s="527"/>
      <c r="T490" s="527"/>
      <c r="U490" s="527"/>
      <c r="V490" s="527"/>
      <c r="W490" s="527"/>
      <c r="X490" s="527"/>
      <c r="Y490" s="527"/>
      <c r="Z490" s="527"/>
      <c r="AA490" s="527"/>
      <c r="AB490" s="527"/>
      <c r="AC490" s="527"/>
      <c r="AD490" s="527"/>
      <c r="AE490" s="527"/>
      <c r="AF490" s="527"/>
      <c r="AG490" s="527"/>
      <c r="AH490" s="527"/>
      <c r="AI490" s="527"/>
      <c r="AJ490" s="527"/>
      <c r="AK490" s="527"/>
      <c r="AL490" s="527"/>
      <c r="AM490" s="527"/>
      <c r="AN490" s="527"/>
      <c r="AO490" s="527"/>
      <c r="AP490" s="527"/>
      <c r="AQ490" s="527"/>
      <c r="AR490" s="527"/>
      <c r="AS490" s="527"/>
      <c r="AT490" s="527"/>
      <c r="AU490" s="527"/>
      <c r="AV490" s="527"/>
      <c r="AW490" s="527"/>
      <c r="AX490" s="527"/>
      <c r="AY490" s="527"/>
      <c r="AZ490" s="527"/>
      <c r="BB490" s="527"/>
      <c r="BC490" s="527"/>
      <c r="BD490" s="444"/>
      <c r="BF490" s="336"/>
    </row>
    <row r="491" spans="1:58" x14ac:dyDescent="0.35">
      <c r="A491" s="411" t="s">
        <v>955</v>
      </c>
      <c r="B491" s="528" t="s">
        <v>940</v>
      </c>
      <c r="C491" s="529" t="s">
        <v>892</v>
      </c>
      <c r="D491" s="530">
        <f>+D469-D447</f>
        <v>0</v>
      </c>
      <c r="E491" s="531">
        <f t="shared" ref="E491:BC491" si="443">+E469-E447</f>
        <v>0</v>
      </c>
      <c r="F491" s="531">
        <f t="shared" si="443"/>
        <v>0</v>
      </c>
      <c r="G491" s="531">
        <f t="shared" si="443"/>
        <v>0</v>
      </c>
      <c r="H491" s="531">
        <f t="shared" si="443"/>
        <v>0</v>
      </c>
      <c r="I491" s="531">
        <f>+I469-I447</f>
        <v>0</v>
      </c>
      <c r="J491" s="531">
        <f t="shared" si="443"/>
        <v>0</v>
      </c>
      <c r="K491" s="531">
        <f t="shared" si="443"/>
        <v>0</v>
      </c>
      <c r="L491" s="531">
        <f t="shared" si="443"/>
        <v>0</v>
      </c>
      <c r="M491" s="531">
        <f t="shared" si="443"/>
        <v>0</v>
      </c>
      <c r="N491" s="531">
        <f t="shared" si="443"/>
        <v>0</v>
      </c>
      <c r="O491" s="531">
        <f t="shared" si="443"/>
        <v>0</v>
      </c>
      <c r="P491" s="531">
        <f t="shared" si="443"/>
        <v>0</v>
      </c>
      <c r="Q491" s="531">
        <f t="shared" si="443"/>
        <v>0</v>
      </c>
      <c r="R491" s="531">
        <f t="shared" si="443"/>
        <v>0</v>
      </c>
      <c r="S491" s="531">
        <f t="shared" si="443"/>
        <v>0</v>
      </c>
      <c r="T491" s="531">
        <f t="shared" si="443"/>
        <v>0</v>
      </c>
      <c r="U491" s="531">
        <f t="shared" si="443"/>
        <v>0</v>
      </c>
      <c r="V491" s="531">
        <f t="shared" si="443"/>
        <v>0</v>
      </c>
      <c r="W491" s="531">
        <f t="shared" si="443"/>
        <v>0</v>
      </c>
      <c r="X491" s="531">
        <f t="shared" si="443"/>
        <v>0</v>
      </c>
      <c r="Y491" s="531">
        <f t="shared" si="443"/>
        <v>0</v>
      </c>
      <c r="Z491" s="531">
        <f t="shared" si="443"/>
        <v>0</v>
      </c>
      <c r="AA491" s="531">
        <f t="shared" si="443"/>
        <v>0</v>
      </c>
      <c r="AB491" s="531">
        <f t="shared" si="443"/>
        <v>0</v>
      </c>
      <c r="AC491" s="531">
        <f t="shared" si="443"/>
        <v>0</v>
      </c>
      <c r="AD491" s="531">
        <f t="shared" ref="AD491" si="444">+AD469-AD447</f>
        <v>0</v>
      </c>
      <c r="AE491" s="530">
        <f t="shared" si="443"/>
        <v>0</v>
      </c>
      <c r="AF491" s="531">
        <f t="shared" si="443"/>
        <v>0</v>
      </c>
      <c r="AG491" s="531">
        <f t="shared" si="443"/>
        <v>0</v>
      </c>
      <c r="AH491" s="531">
        <f t="shared" si="443"/>
        <v>0</v>
      </c>
      <c r="AI491" s="531">
        <f t="shared" si="443"/>
        <v>0</v>
      </c>
      <c r="AJ491" s="531">
        <f t="shared" ref="AJ491" si="445">+AJ469-AJ447</f>
        <v>0</v>
      </c>
      <c r="AK491" s="531">
        <f t="shared" ref="AK491:AL491" si="446">+AK469-AK447</f>
        <v>0</v>
      </c>
      <c r="AL491" s="531">
        <f t="shared" si="446"/>
        <v>0</v>
      </c>
      <c r="AM491" s="531">
        <f t="shared" ref="AM491:AO491" si="447">+AM469-AM447</f>
        <v>0</v>
      </c>
      <c r="AN491" s="531">
        <f t="shared" si="447"/>
        <v>0</v>
      </c>
      <c r="AO491" s="531">
        <f t="shared" si="447"/>
        <v>0</v>
      </c>
      <c r="AP491" s="531">
        <f t="shared" si="443"/>
        <v>0</v>
      </c>
      <c r="AQ491" s="531">
        <f t="shared" si="443"/>
        <v>0</v>
      </c>
      <c r="AR491" s="531">
        <f t="shared" si="443"/>
        <v>0</v>
      </c>
      <c r="AS491" s="531">
        <f t="shared" ref="AS491:AS511" si="448">+AS469-AS447</f>
        <v>-662617.10414054128</v>
      </c>
      <c r="AT491" s="531">
        <f t="shared" ref="AT491:AZ491" si="449">+AT469-AT447</f>
        <v>0</v>
      </c>
      <c r="AU491" s="531">
        <f t="shared" si="449"/>
        <v>0</v>
      </c>
      <c r="AV491" s="531">
        <f t="shared" si="449"/>
        <v>0</v>
      </c>
      <c r="AW491" s="531">
        <f t="shared" si="449"/>
        <v>0</v>
      </c>
      <c r="AX491" s="531">
        <f t="shared" si="449"/>
        <v>0</v>
      </c>
      <c r="AY491" s="531">
        <f t="shared" si="449"/>
        <v>0</v>
      </c>
      <c r="AZ491" s="531">
        <f t="shared" si="449"/>
        <v>0</v>
      </c>
      <c r="BB491" s="531">
        <f t="shared" si="443"/>
        <v>0</v>
      </c>
      <c r="BC491" s="532">
        <f t="shared" si="443"/>
        <v>0</v>
      </c>
      <c r="BD491" s="444"/>
      <c r="BE491" s="536"/>
      <c r="BF491" s="336"/>
    </row>
    <row r="492" spans="1:58" x14ac:dyDescent="0.35">
      <c r="A492" s="411" t="s">
        <v>955</v>
      </c>
      <c r="B492" s="533" t="s">
        <v>132</v>
      </c>
      <c r="C492" s="534" t="s">
        <v>892</v>
      </c>
      <c r="D492" s="535">
        <f t="shared" ref="D492:D511" si="450">+D470-D448</f>
        <v>0</v>
      </c>
      <c r="E492" s="536">
        <f t="shared" ref="E492:AR492" si="451">+E470-E448</f>
        <v>0</v>
      </c>
      <c r="F492" s="536">
        <f t="shared" si="451"/>
        <v>0</v>
      </c>
      <c r="G492" s="536">
        <f t="shared" si="451"/>
        <v>0</v>
      </c>
      <c r="H492" s="536">
        <f t="shared" si="451"/>
        <v>0</v>
      </c>
      <c r="I492" s="536">
        <f t="shared" si="451"/>
        <v>0</v>
      </c>
      <c r="J492" s="536">
        <f t="shared" si="451"/>
        <v>0</v>
      </c>
      <c r="K492" s="536">
        <f t="shared" si="451"/>
        <v>0</v>
      </c>
      <c r="L492" s="536">
        <f t="shared" si="451"/>
        <v>0</v>
      </c>
      <c r="M492" s="536">
        <f t="shared" si="451"/>
        <v>0</v>
      </c>
      <c r="N492" s="536">
        <f t="shared" si="451"/>
        <v>0</v>
      </c>
      <c r="O492" s="536">
        <f t="shared" si="451"/>
        <v>0</v>
      </c>
      <c r="P492" s="536">
        <f t="shared" si="451"/>
        <v>0</v>
      </c>
      <c r="Q492" s="536">
        <f t="shared" si="451"/>
        <v>0</v>
      </c>
      <c r="R492" s="536">
        <f t="shared" si="451"/>
        <v>0</v>
      </c>
      <c r="S492" s="536">
        <f t="shared" si="451"/>
        <v>0</v>
      </c>
      <c r="T492" s="536">
        <f t="shared" si="451"/>
        <v>0</v>
      </c>
      <c r="U492" s="536">
        <f t="shared" si="451"/>
        <v>0</v>
      </c>
      <c r="V492" s="536">
        <f t="shared" si="451"/>
        <v>0</v>
      </c>
      <c r="W492" s="536">
        <f t="shared" si="451"/>
        <v>0</v>
      </c>
      <c r="X492" s="536">
        <f t="shared" si="451"/>
        <v>0</v>
      </c>
      <c r="Y492" s="536">
        <f t="shared" si="451"/>
        <v>0</v>
      </c>
      <c r="Z492" s="536">
        <f t="shared" si="451"/>
        <v>0</v>
      </c>
      <c r="AA492" s="536">
        <f t="shared" si="451"/>
        <v>0</v>
      </c>
      <c r="AB492" s="536">
        <f t="shared" si="451"/>
        <v>0</v>
      </c>
      <c r="AC492" s="536">
        <f t="shared" si="451"/>
        <v>0</v>
      </c>
      <c r="AD492" s="536">
        <f t="shared" ref="AD492" si="452">+AD470-AD448</f>
        <v>0</v>
      </c>
      <c r="AE492" s="535">
        <f t="shared" si="451"/>
        <v>0</v>
      </c>
      <c r="AF492" s="536">
        <f t="shared" si="451"/>
        <v>0</v>
      </c>
      <c r="AG492" s="536">
        <f t="shared" si="451"/>
        <v>0</v>
      </c>
      <c r="AH492" s="536">
        <f t="shared" si="451"/>
        <v>0</v>
      </c>
      <c r="AI492" s="536">
        <f t="shared" si="451"/>
        <v>0</v>
      </c>
      <c r="AJ492" s="536">
        <f t="shared" ref="AJ492" si="453">+AJ470-AJ448</f>
        <v>0</v>
      </c>
      <c r="AK492" s="536">
        <f t="shared" ref="AK492:AL493" si="454">+AK470-AK448</f>
        <v>0</v>
      </c>
      <c r="AL492" s="536">
        <f t="shared" si="454"/>
        <v>0</v>
      </c>
      <c r="AM492" s="536">
        <f t="shared" ref="AM492:AO492" si="455">+AM470-AM448</f>
        <v>0</v>
      </c>
      <c r="AN492" s="536">
        <f t="shared" si="455"/>
        <v>0</v>
      </c>
      <c r="AO492" s="536">
        <f t="shared" si="455"/>
        <v>0</v>
      </c>
      <c r="AP492" s="536">
        <f t="shared" si="451"/>
        <v>0</v>
      </c>
      <c r="AQ492" s="536">
        <f t="shared" si="451"/>
        <v>0</v>
      </c>
      <c r="AR492" s="536">
        <f t="shared" si="451"/>
        <v>0</v>
      </c>
      <c r="AS492" s="536">
        <f t="shared" si="448"/>
        <v>24218047.431628965</v>
      </c>
      <c r="AT492" s="536">
        <f t="shared" ref="AT492:AZ492" si="456">+AT470-AT448</f>
        <v>0</v>
      </c>
      <c r="AU492" s="536">
        <f t="shared" si="456"/>
        <v>0</v>
      </c>
      <c r="AV492" s="536">
        <f t="shared" si="456"/>
        <v>0</v>
      </c>
      <c r="AW492" s="536">
        <f t="shared" si="456"/>
        <v>0</v>
      </c>
      <c r="AX492" s="536">
        <f t="shared" si="456"/>
        <v>0</v>
      </c>
      <c r="AY492" s="536">
        <f t="shared" si="456"/>
        <v>0</v>
      </c>
      <c r="AZ492" s="536">
        <f t="shared" si="456"/>
        <v>0</v>
      </c>
      <c r="BB492" s="536">
        <f>+BB470-BB448</f>
        <v>0</v>
      </c>
      <c r="BC492" s="537">
        <f>+BC470-BC448</f>
        <v>0</v>
      </c>
      <c r="BD492" s="444"/>
      <c r="BE492" s="536"/>
      <c r="BF492" s="336"/>
    </row>
    <row r="493" spans="1:58" x14ac:dyDescent="0.35">
      <c r="A493" s="411" t="s">
        <v>955</v>
      </c>
      <c r="B493" s="538" t="s">
        <v>187</v>
      </c>
      <c r="C493" s="539" t="s">
        <v>892</v>
      </c>
      <c r="D493" s="535">
        <f t="shared" si="450"/>
        <v>-11436445.781374156</v>
      </c>
      <c r="E493" s="536">
        <f t="shared" ref="E493:BC493" si="457">+E471-E449</f>
        <v>0</v>
      </c>
      <c r="F493" s="536">
        <f t="shared" si="457"/>
        <v>0</v>
      </c>
      <c r="G493" s="536">
        <f t="shared" si="457"/>
        <v>0</v>
      </c>
      <c r="H493" s="536">
        <f t="shared" si="457"/>
        <v>0</v>
      </c>
      <c r="I493" s="536">
        <f t="shared" si="457"/>
        <v>0</v>
      </c>
      <c r="J493" s="536">
        <f t="shared" si="457"/>
        <v>0</v>
      </c>
      <c r="K493" s="536">
        <f t="shared" si="457"/>
        <v>0</v>
      </c>
      <c r="L493" s="536">
        <f t="shared" si="457"/>
        <v>0</v>
      </c>
      <c r="M493" s="536">
        <f t="shared" si="457"/>
        <v>0</v>
      </c>
      <c r="N493" s="536">
        <f t="shared" si="457"/>
        <v>0</v>
      </c>
      <c r="O493" s="536">
        <f t="shared" si="457"/>
        <v>0</v>
      </c>
      <c r="P493" s="536">
        <f t="shared" si="457"/>
        <v>0</v>
      </c>
      <c r="Q493" s="536">
        <f t="shared" si="457"/>
        <v>0</v>
      </c>
      <c r="R493" s="536">
        <f t="shared" si="457"/>
        <v>0</v>
      </c>
      <c r="S493" s="536">
        <f t="shared" si="457"/>
        <v>0</v>
      </c>
      <c r="T493" s="536">
        <f t="shared" si="457"/>
        <v>0</v>
      </c>
      <c r="U493" s="536">
        <f t="shared" si="457"/>
        <v>0</v>
      </c>
      <c r="V493" s="536">
        <f t="shared" si="457"/>
        <v>0</v>
      </c>
      <c r="W493" s="536">
        <f t="shared" si="457"/>
        <v>-195677.00992928259</v>
      </c>
      <c r="X493" s="536">
        <f t="shared" si="457"/>
        <v>26466.29751453083</v>
      </c>
      <c r="Y493" s="536">
        <f t="shared" si="457"/>
        <v>0</v>
      </c>
      <c r="Z493" s="536">
        <f t="shared" si="457"/>
        <v>0</v>
      </c>
      <c r="AA493" s="536">
        <f t="shared" si="457"/>
        <v>0</v>
      </c>
      <c r="AB493" s="536">
        <f t="shared" si="457"/>
        <v>224294.1752305699</v>
      </c>
      <c r="AC493" s="536">
        <f t="shared" si="457"/>
        <v>0</v>
      </c>
      <c r="AD493" s="536">
        <f t="shared" ref="AD493" si="458">+AD471-AD449</f>
        <v>0</v>
      </c>
      <c r="AE493" s="535">
        <f t="shared" si="457"/>
        <v>0</v>
      </c>
      <c r="AF493" s="536">
        <f t="shared" si="457"/>
        <v>0</v>
      </c>
      <c r="AG493" s="536">
        <f t="shared" si="457"/>
        <v>0</v>
      </c>
      <c r="AH493" s="536">
        <f t="shared" si="457"/>
        <v>0</v>
      </c>
      <c r="AI493" s="536">
        <f t="shared" si="457"/>
        <v>0</v>
      </c>
      <c r="AJ493" s="536">
        <f t="shared" ref="AJ493" si="459">+AJ471-AJ449</f>
        <v>0</v>
      </c>
      <c r="AK493" s="536">
        <f t="shared" ref="AK493" si="460">+AK471-AK449</f>
        <v>0</v>
      </c>
      <c r="AL493" s="536">
        <f t="shared" si="454"/>
        <v>0</v>
      </c>
      <c r="AM493" s="536">
        <f t="shared" ref="AM493:AO493" si="461">+AM471-AM449</f>
        <v>0</v>
      </c>
      <c r="AN493" s="536">
        <f t="shared" si="461"/>
        <v>0</v>
      </c>
      <c r="AO493" s="536">
        <f t="shared" si="461"/>
        <v>0</v>
      </c>
      <c r="AP493" s="536">
        <f t="shared" si="457"/>
        <v>0</v>
      </c>
      <c r="AQ493" s="536">
        <f t="shared" si="457"/>
        <v>0</v>
      </c>
      <c r="AR493" s="536">
        <f t="shared" si="457"/>
        <v>93922.789367876947</v>
      </c>
      <c r="AS493" s="536">
        <f t="shared" si="448"/>
        <v>3334996.5230779066</v>
      </c>
      <c r="AT493" s="536">
        <f t="shared" ref="AT493:AZ493" si="462">+AT471-AT449</f>
        <v>0</v>
      </c>
      <c r="AU493" s="536">
        <f t="shared" si="462"/>
        <v>0</v>
      </c>
      <c r="AV493" s="536">
        <f t="shared" si="462"/>
        <v>0</v>
      </c>
      <c r="AW493" s="536">
        <f t="shared" si="462"/>
        <v>0</v>
      </c>
      <c r="AX493" s="536">
        <f t="shared" si="462"/>
        <v>0</v>
      </c>
      <c r="AY493" s="536">
        <f t="shared" si="462"/>
        <v>0</v>
      </c>
      <c r="AZ493" s="536">
        <f t="shared" si="462"/>
        <v>0</v>
      </c>
      <c r="BB493" s="536">
        <f t="shared" si="457"/>
        <v>149006.25218368322</v>
      </c>
      <c r="BC493" s="537">
        <f t="shared" si="457"/>
        <v>-11287439.529190486</v>
      </c>
      <c r="BD493" s="444"/>
      <c r="BE493" s="536"/>
      <c r="BF493" s="336"/>
    </row>
    <row r="494" spans="1:58" x14ac:dyDescent="0.35">
      <c r="A494" s="411" t="s">
        <v>955</v>
      </c>
      <c r="B494" s="528" t="s">
        <v>940</v>
      </c>
      <c r="C494" s="753">
        <v>45291</v>
      </c>
      <c r="D494" s="530">
        <f>+D472-D450</f>
        <v>0</v>
      </c>
      <c r="E494" s="531">
        <f t="shared" ref="E494:BC494" si="463">+E472-E450</f>
        <v>0</v>
      </c>
      <c r="F494" s="531">
        <f t="shared" si="463"/>
        <v>0</v>
      </c>
      <c r="G494" s="531">
        <f t="shared" si="463"/>
        <v>0</v>
      </c>
      <c r="H494" s="531">
        <f t="shared" si="463"/>
        <v>0</v>
      </c>
      <c r="I494" s="531">
        <f t="shared" si="463"/>
        <v>0</v>
      </c>
      <c r="J494" s="531">
        <f t="shared" si="463"/>
        <v>0</v>
      </c>
      <c r="K494" s="531">
        <f t="shared" si="463"/>
        <v>0</v>
      </c>
      <c r="L494" s="531">
        <f t="shared" si="463"/>
        <v>0</v>
      </c>
      <c r="M494" s="531">
        <f t="shared" si="463"/>
        <v>0</v>
      </c>
      <c r="N494" s="531">
        <f t="shared" si="463"/>
        <v>0</v>
      </c>
      <c r="O494" s="531">
        <f t="shared" si="463"/>
        <v>0</v>
      </c>
      <c r="P494" s="531">
        <f t="shared" si="463"/>
        <v>0</v>
      </c>
      <c r="Q494" s="531">
        <f t="shared" si="463"/>
        <v>0</v>
      </c>
      <c r="R494" s="531">
        <f t="shared" si="463"/>
        <v>0</v>
      </c>
      <c r="S494" s="531">
        <f t="shared" si="463"/>
        <v>0</v>
      </c>
      <c r="T494" s="531">
        <f t="shared" si="463"/>
        <v>0</v>
      </c>
      <c r="U494" s="531">
        <f t="shared" si="463"/>
        <v>0</v>
      </c>
      <c r="V494" s="531">
        <f t="shared" si="463"/>
        <v>0</v>
      </c>
      <c r="W494" s="531">
        <f t="shared" si="463"/>
        <v>0</v>
      </c>
      <c r="X494" s="531">
        <f t="shared" si="463"/>
        <v>0</v>
      </c>
      <c r="Y494" s="531">
        <f t="shared" si="463"/>
        <v>0</v>
      </c>
      <c r="Z494" s="531">
        <f t="shared" si="463"/>
        <v>0</v>
      </c>
      <c r="AA494" s="531">
        <f t="shared" si="463"/>
        <v>0</v>
      </c>
      <c r="AB494" s="531">
        <f t="shared" si="463"/>
        <v>0</v>
      </c>
      <c r="AC494" s="531">
        <f t="shared" si="463"/>
        <v>0</v>
      </c>
      <c r="AD494" s="531">
        <f t="shared" ref="AD494" si="464">+AD472-AD450</f>
        <v>0</v>
      </c>
      <c r="AE494" s="530">
        <f t="shared" si="463"/>
        <v>0</v>
      </c>
      <c r="AF494" s="531">
        <f t="shared" si="463"/>
        <v>0</v>
      </c>
      <c r="AG494" s="531">
        <f t="shared" si="463"/>
        <v>0</v>
      </c>
      <c r="AH494" s="531">
        <f t="shared" si="463"/>
        <v>0</v>
      </c>
      <c r="AI494" s="531">
        <f t="shared" si="463"/>
        <v>0</v>
      </c>
      <c r="AJ494" s="531">
        <f t="shared" ref="AJ494" si="465">+AJ472-AJ450</f>
        <v>0</v>
      </c>
      <c r="AK494" s="531">
        <f t="shared" ref="AK494:AL494" si="466">+AK472-AK450</f>
        <v>0</v>
      </c>
      <c r="AL494" s="531">
        <f t="shared" si="466"/>
        <v>0</v>
      </c>
      <c r="AM494" s="531">
        <f t="shared" ref="AM494:AO494" si="467">+AM472-AM450</f>
        <v>0</v>
      </c>
      <c r="AN494" s="531">
        <f t="shared" si="467"/>
        <v>0</v>
      </c>
      <c r="AO494" s="531">
        <f t="shared" si="467"/>
        <v>0</v>
      </c>
      <c r="AP494" s="531">
        <f t="shared" si="463"/>
        <v>0</v>
      </c>
      <c r="AQ494" s="531">
        <f t="shared" si="463"/>
        <v>0</v>
      </c>
      <c r="AR494" s="531">
        <f t="shared" si="463"/>
        <v>0</v>
      </c>
      <c r="AS494" s="531">
        <f t="shared" si="448"/>
        <v>-330440.00281978119</v>
      </c>
      <c r="AT494" s="531">
        <f t="shared" ref="AT494:AZ494" si="468">+AT472-AT450</f>
        <v>0</v>
      </c>
      <c r="AU494" s="531">
        <f t="shared" si="468"/>
        <v>0</v>
      </c>
      <c r="AV494" s="531">
        <f t="shared" si="468"/>
        <v>0</v>
      </c>
      <c r="AW494" s="531">
        <f t="shared" si="468"/>
        <v>0</v>
      </c>
      <c r="AX494" s="531">
        <f t="shared" si="468"/>
        <v>0</v>
      </c>
      <c r="AY494" s="531">
        <f t="shared" si="468"/>
        <v>0</v>
      </c>
      <c r="AZ494" s="531">
        <f t="shared" si="468"/>
        <v>0</v>
      </c>
      <c r="BB494" s="531">
        <f t="shared" si="463"/>
        <v>0</v>
      </c>
      <c r="BC494" s="532">
        <f t="shared" si="463"/>
        <v>0</v>
      </c>
      <c r="BD494" s="444"/>
      <c r="BE494" s="536"/>
      <c r="BF494" s="336"/>
    </row>
    <row r="495" spans="1:58" x14ac:dyDescent="0.35">
      <c r="A495" s="411" t="s">
        <v>955</v>
      </c>
      <c r="B495" s="533" t="s">
        <v>132</v>
      </c>
      <c r="C495" s="754">
        <v>45291</v>
      </c>
      <c r="D495" s="535">
        <f t="shared" si="450"/>
        <v>0</v>
      </c>
      <c r="E495" s="536">
        <f t="shared" ref="E495:BC495" si="469">+E473-E451</f>
        <v>0</v>
      </c>
      <c r="F495" s="536">
        <f t="shared" si="469"/>
        <v>0</v>
      </c>
      <c r="G495" s="536">
        <f t="shared" si="469"/>
        <v>0</v>
      </c>
      <c r="H495" s="536">
        <f t="shared" si="469"/>
        <v>0</v>
      </c>
      <c r="I495" s="536">
        <f t="shared" si="469"/>
        <v>0</v>
      </c>
      <c r="J495" s="536">
        <f t="shared" si="469"/>
        <v>0</v>
      </c>
      <c r="K495" s="536">
        <f t="shared" si="469"/>
        <v>0</v>
      </c>
      <c r="L495" s="536">
        <f t="shared" si="469"/>
        <v>0</v>
      </c>
      <c r="M495" s="536">
        <f t="shared" si="469"/>
        <v>0</v>
      </c>
      <c r="N495" s="536">
        <f t="shared" si="469"/>
        <v>0</v>
      </c>
      <c r="O495" s="536">
        <f t="shared" si="469"/>
        <v>0</v>
      </c>
      <c r="P495" s="536">
        <f t="shared" si="469"/>
        <v>0</v>
      </c>
      <c r="Q495" s="536">
        <f t="shared" si="469"/>
        <v>0</v>
      </c>
      <c r="R495" s="536">
        <f t="shared" si="469"/>
        <v>0</v>
      </c>
      <c r="S495" s="536">
        <f t="shared" si="469"/>
        <v>0</v>
      </c>
      <c r="T495" s="536">
        <f t="shared" si="469"/>
        <v>0</v>
      </c>
      <c r="U495" s="536">
        <f t="shared" si="469"/>
        <v>0</v>
      </c>
      <c r="V495" s="536">
        <f t="shared" si="469"/>
        <v>0</v>
      </c>
      <c r="W495" s="536">
        <f t="shared" si="469"/>
        <v>0</v>
      </c>
      <c r="X495" s="536">
        <f t="shared" si="469"/>
        <v>0</v>
      </c>
      <c r="Y495" s="536">
        <f t="shared" si="469"/>
        <v>0</v>
      </c>
      <c r="Z495" s="536">
        <f t="shared" si="469"/>
        <v>0</v>
      </c>
      <c r="AA495" s="536">
        <f t="shared" si="469"/>
        <v>0</v>
      </c>
      <c r="AB495" s="536">
        <f t="shared" si="469"/>
        <v>0</v>
      </c>
      <c r="AC495" s="536">
        <f t="shared" si="469"/>
        <v>0</v>
      </c>
      <c r="AD495" s="536">
        <f t="shared" ref="AD495" si="470">+AD473-AD451</f>
        <v>0</v>
      </c>
      <c r="AE495" s="535">
        <f t="shared" si="469"/>
        <v>0</v>
      </c>
      <c r="AF495" s="536">
        <f t="shared" si="469"/>
        <v>0</v>
      </c>
      <c r="AG495" s="536">
        <f t="shared" si="469"/>
        <v>0</v>
      </c>
      <c r="AH495" s="536">
        <f t="shared" si="469"/>
        <v>0</v>
      </c>
      <c r="AI495" s="536">
        <f t="shared" si="469"/>
        <v>0</v>
      </c>
      <c r="AJ495" s="536">
        <f t="shared" ref="AJ495" si="471">+AJ473-AJ451</f>
        <v>0</v>
      </c>
      <c r="AK495" s="536">
        <f t="shared" ref="AK495:AL495" si="472">+AK473-AK451</f>
        <v>0</v>
      </c>
      <c r="AL495" s="536">
        <f t="shared" si="472"/>
        <v>0</v>
      </c>
      <c r="AM495" s="536">
        <f t="shared" ref="AM495:AO495" si="473">+AM473-AM451</f>
        <v>0</v>
      </c>
      <c r="AN495" s="536">
        <f t="shared" si="473"/>
        <v>0</v>
      </c>
      <c r="AO495" s="536">
        <f t="shared" si="473"/>
        <v>0</v>
      </c>
      <c r="AP495" s="536">
        <f t="shared" si="469"/>
        <v>0</v>
      </c>
      <c r="AQ495" s="536">
        <f t="shared" si="469"/>
        <v>0</v>
      </c>
      <c r="AR495" s="536">
        <f t="shared" si="469"/>
        <v>0</v>
      </c>
      <c r="AS495" s="536">
        <f t="shared" si="448"/>
        <v>-488404.91943644884</v>
      </c>
      <c r="AT495" s="536">
        <f t="shared" ref="AT495:AZ495" si="474">+AT473-AT451</f>
        <v>0</v>
      </c>
      <c r="AU495" s="536">
        <f t="shared" si="474"/>
        <v>0</v>
      </c>
      <c r="AV495" s="536">
        <f t="shared" si="474"/>
        <v>0</v>
      </c>
      <c r="AW495" s="536">
        <f t="shared" si="474"/>
        <v>0</v>
      </c>
      <c r="AX495" s="536">
        <f t="shared" si="474"/>
        <v>0</v>
      </c>
      <c r="AY495" s="536">
        <f t="shared" si="474"/>
        <v>0</v>
      </c>
      <c r="AZ495" s="536">
        <f t="shared" si="474"/>
        <v>0</v>
      </c>
      <c r="BB495" s="536">
        <f t="shared" si="469"/>
        <v>0</v>
      </c>
      <c r="BC495" s="537">
        <f t="shared" si="469"/>
        <v>0</v>
      </c>
      <c r="BD495" s="444"/>
      <c r="BE495" s="536"/>
      <c r="BF495" s="336"/>
    </row>
    <row r="496" spans="1:58" x14ac:dyDescent="0.35">
      <c r="A496" s="411" t="s">
        <v>955</v>
      </c>
      <c r="B496" s="538" t="s">
        <v>187</v>
      </c>
      <c r="C496" s="755">
        <v>45291</v>
      </c>
      <c r="D496" s="535">
        <f t="shared" si="450"/>
        <v>-11287439.529190486</v>
      </c>
      <c r="E496" s="536">
        <f t="shared" ref="E496:BC496" si="475">+E474-E452</f>
        <v>0</v>
      </c>
      <c r="F496" s="536">
        <f t="shared" si="475"/>
        <v>0</v>
      </c>
      <c r="G496" s="536">
        <f t="shared" si="475"/>
        <v>0</v>
      </c>
      <c r="H496" s="536">
        <f t="shared" si="475"/>
        <v>0</v>
      </c>
      <c r="I496" s="536">
        <f t="shared" si="475"/>
        <v>0</v>
      </c>
      <c r="J496" s="536">
        <f t="shared" si="475"/>
        <v>0</v>
      </c>
      <c r="K496" s="536">
        <f t="shared" si="475"/>
        <v>0</v>
      </c>
      <c r="L496" s="536">
        <f t="shared" si="475"/>
        <v>0</v>
      </c>
      <c r="M496" s="536">
        <f t="shared" si="475"/>
        <v>0</v>
      </c>
      <c r="N496" s="536">
        <f t="shared" si="475"/>
        <v>0</v>
      </c>
      <c r="O496" s="536">
        <f t="shared" si="475"/>
        <v>0</v>
      </c>
      <c r="P496" s="536">
        <f t="shared" si="475"/>
        <v>0</v>
      </c>
      <c r="Q496" s="536">
        <f t="shared" si="475"/>
        <v>0</v>
      </c>
      <c r="R496" s="536">
        <f t="shared" si="475"/>
        <v>0</v>
      </c>
      <c r="S496" s="536">
        <f t="shared" si="475"/>
        <v>0</v>
      </c>
      <c r="T496" s="536">
        <f t="shared" si="475"/>
        <v>0</v>
      </c>
      <c r="U496" s="536">
        <f t="shared" si="475"/>
        <v>0</v>
      </c>
      <c r="V496" s="536">
        <f t="shared" si="475"/>
        <v>0</v>
      </c>
      <c r="W496" s="536">
        <f t="shared" si="475"/>
        <v>0</v>
      </c>
      <c r="X496" s="536">
        <f t="shared" si="475"/>
        <v>0</v>
      </c>
      <c r="Y496" s="536">
        <f t="shared" si="475"/>
        <v>0</v>
      </c>
      <c r="Z496" s="536">
        <f t="shared" si="475"/>
        <v>0</v>
      </c>
      <c r="AA496" s="536">
        <f t="shared" si="475"/>
        <v>108665.56471550744</v>
      </c>
      <c r="AB496" s="536">
        <f t="shared" si="475"/>
        <v>-224294.17523056921</v>
      </c>
      <c r="AC496" s="536">
        <f t="shared" si="475"/>
        <v>0</v>
      </c>
      <c r="AD496" s="536">
        <f t="shared" ref="AD496" si="476">+AD474-AD452</f>
        <v>0</v>
      </c>
      <c r="AE496" s="535">
        <f t="shared" si="475"/>
        <v>317322.67681024037</v>
      </c>
      <c r="AF496" s="536">
        <f t="shared" si="475"/>
        <v>-165.33636253949226</v>
      </c>
      <c r="AG496" s="536">
        <f t="shared" si="475"/>
        <v>-247416.85456494894</v>
      </c>
      <c r="AH496" s="536">
        <f t="shared" si="475"/>
        <v>-205153.79343965184</v>
      </c>
      <c r="AI496" s="536">
        <f t="shared" si="475"/>
        <v>-224.86021124006038</v>
      </c>
      <c r="AJ496" s="536">
        <f t="shared" ref="AJ496" si="477">+AJ474-AJ452</f>
        <v>-182120.63001609128</v>
      </c>
      <c r="AK496" s="536">
        <f t="shared" ref="AK496:AL496" si="478">+AK474-AK452</f>
        <v>0</v>
      </c>
      <c r="AL496" s="536">
        <f t="shared" si="478"/>
        <v>0</v>
      </c>
      <c r="AM496" s="536">
        <f t="shared" ref="AM496:AO496" si="479">+AM474-AM452</f>
        <v>0</v>
      </c>
      <c r="AN496" s="536">
        <f t="shared" si="479"/>
        <v>0</v>
      </c>
      <c r="AO496" s="536">
        <f t="shared" si="479"/>
        <v>0</v>
      </c>
      <c r="AP496" s="536">
        <f t="shared" si="475"/>
        <v>950088.41196425539</v>
      </c>
      <c r="AQ496" s="536">
        <f t="shared" si="475"/>
        <v>-95867.915667431429</v>
      </c>
      <c r="AR496" s="536">
        <f t="shared" si="475"/>
        <v>-1894.1391746782465</v>
      </c>
      <c r="AS496" s="536">
        <f t="shared" si="448"/>
        <v>388586.54847223905</v>
      </c>
      <c r="AT496" s="536">
        <f t="shared" ref="AT496:AZ496" si="480">+AT474-AT452</f>
        <v>0</v>
      </c>
      <c r="AU496" s="536">
        <f t="shared" si="480"/>
        <v>0</v>
      </c>
      <c r="AV496" s="536">
        <f t="shared" si="480"/>
        <v>0</v>
      </c>
      <c r="AW496" s="536">
        <f t="shared" si="480"/>
        <v>0</v>
      </c>
      <c r="AX496" s="536">
        <f t="shared" si="480"/>
        <v>0</v>
      </c>
      <c r="AY496" s="536">
        <f t="shared" si="480"/>
        <v>0</v>
      </c>
      <c r="AZ496" s="536">
        <f t="shared" si="480"/>
        <v>0</v>
      </c>
      <c r="BB496" s="536">
        <f t="shared" si="475"/>
        <v>418938.94882284105</v>
      </c>
      <c r="BC496" s="537">
        <f t="shared" si="475"/>
        <v>-10868500.580367595</v>
      </c>
      <c r="BD496" s="444"/>
      <c r="BE496" s="536"/>
      <c r="BF496" s="336"/>
    </row>
    <row r="497" spans="1:58" x14ac:dyDescent="0.35">
      <c r="A497" s="411" t="s">
        <v>955</v>
      </c>
      <c r="B497" s="528" t="s">
        <v>940</v>
      </c>
      <c r="C497" s="529" t="s">
        <v>925</v>
      </c>
      <c r="D497" s="530">
        <f t="shared" si="450"/>
        <v>0</v>
      </c>
      <c r="E497" s="531">
        <f t="shared" ref="E497:BC497" si="481">+E475-E453</f>
        <v>7615147.9804675048</v>
      </c>
      <c r="F497" s="531">
        <f t="shared" si="481"/>
        <v>0</v>
      </c>
      <c r="G497" s="531">
        <f t="shared" si="481"/>
        <v>0</v>
      </c>
      <c r="H497" s="531">
        <f t="shared" si="481"/>
        <v>0</v>
      </c>
      <c r="I497" s="531">
        <f t="shared" si="481"/>
        <v>0</v>
      </c>
      <c r="J497" s="531">
        <f t="shared" si="481"/>
        <v>0</v>
      </c>
      <c r="K497" s="531">
        <f t="shared" si="481"/>
        <v>0</v>
      </c>
      <c r="L497" s="531">
        <f t="shared" si="481"/>
        <v>0</v>
      </c>
      <c r="M497" s="531">
        <f t="shared" si="481"/>
        <v>0</v>
      </c>
      <c r="N497" s="531">
        <f t="shared" si="481"/>
        <v>0</v>
      </c>
      <c r="O497" s="531">
        <f t="shared" si="481"/>
        <v>0</v>
      </c>
      <c r="P497" s="531">
        <f t="shared" si="481"/>
        <v>0</v>
      </c>
      <c r="Q497" s="531">
        <f t="shared" si="481"/>
        <v>0</v>
      </c>
      <c r="R497" s="531">
        <f t="shared" si="481"/>
        <v>0</v>
      </c>
      <c r="S497" s="531">
        <f t="shared" si="481"/>
        <v>0</v>
      </c>
      <c r="T497" s="531">
        <f t="shared" si="481"/>
        <v>0</v>
      </c>
      <c r="U497" s="531">
        <f t="shared" si="481"/>
        <v>0</v>
      </c>
      <c r="V497" s="531">
        <f t="shared" si="481"/>
        <v>0</v>
      </c>
      <c r="W497" s="531">
        <f t="shared" si="481"/>
        <v>0</v>
      </c>
      <c r="X497" s="531">
        <f t="shared" si="481"/>
        <v>0</v>
      </c>
      <c r="Y497" s="531">
        <f t="shared" si="481"/>
        <v>0</v>
      </c>
      <c r="Z497" s="531">
        <f t="shared" si="481"/>
        <v>0</v>
      </c>
      <c r="AA497" s="531">
        <f t="shared" si="481"/>
        <v>0</v>
      </c>
      <c r="AB497" s="531">
        <f t="shared" si="481"/>
        <v>0</v>
      </c>
      <c r="AC497" s="531">
        <f t="shared" si="481"/>
        <v>0</v>
      </c>
      <c r="AD497" s="531">
        <f t="shared" ref="AD497" si="482">+AD475-AD453</f>
        <v>0</v>
      </c>
      <c r="AE497" s="530">
        <f t="shared" si="481"/>
        <v>0</v>
      </c>
      <c r="AF497" s="531">
        <f t="shared" si="481"/>
        <v>0</v>
      </c>
      <c r="AG497" s="531">
        <f t="shared" si="481"/>
        <v>0</v>
      </c>
      <c r="AH497" s="531">
        <f t="shared" si="481"/>
        <v>0</v>
      </c>
      <c r="AI497" s="531">
        <f t="shared" si="481"/>
        <v>0</v>
      </c>
      <c r="AJ497" s="531">
        <f t="shared" ref="AJ497" si="483">+AJ475-AJ453</f>
        <v>0</v>
      </c>
      <c r="AK497" s="531">
        <f t="shared" ref="AK497:AL497" si="484">+AK475-AK453</f>
        <v>0</v>
      </c>
      <c r="AL497" s="531">
        <f t="shared" si="484"/>
        <v>0</v>
      </c>
      <c r="AM497" s="531">
        <f t="shared" ref="AM497:AO497" si="485">+AM475-AM453</f>
        <v>0</v>
      </c>
      <c r="AN497" s="531">
        <f t="shared" si="485"/>
        <v>0</v>
      </c>
      <c r="AO497" s="531">
        <f t="shared" si="485"/>
        <v>0</v>
      </c>
      <c r="AP497" s="531">
        <f t="shared" si="481"/>
        <v>0</v>
      </c>
      <c r="AQ497" s="531">
        <f t="shared" si="481"/>
        <v>0</v>
      </c>
      <c r="AR497" s="531">
        <f t="shared" si="481"/>
        <v>0</v>
      </c>
      <c r="AS497" s="531">
        <f t="shared" si="448"/>
        <v>-660880.00563955808</v>
      </c>
      <c r="AT497" s="531">
        <f t="shared" ref="AT497:AZ497" si="486">+AT475-AT453</f>
        <v>0</v>
      </c>
      <c r="AU497" s="531">
        <f t="shared" si="486"/>
        <v>0</v>
      </c>
      <c r="AV497" s="531">
        <f t="shared" si="486"/>
        <v>0</v>
      </c>
      <c r="AW497" s="531">
        <f t="shared" si="486"/>
        <v>0</v>
      </c>
      <c r="AX497" s="531">
        <f t="shared" si="486"/>
        <v>0</v>
      </c>
      <c r="AY497" s="531">
        <f t="shared" si="486"/>
        <v>0</v>
      </c>
      <c r="AZ497" s="531">
        <f t="shared" si="486"/>
        <v>0</v>
      </c>
      <c r="BB497" s="531">
        <f t="shared" si="481"/>
        <v>7615147.9804675058</v>
      </c>
      <c r="BC497" s="532">
        <f t="shared" si="481"/>
        <v>7615147.9804675579</v>
      </c>
      <c r="BD497" s="444"/>
      <c r="BE497" s="536"/>
      <c r="BF497" s="336"/>
    </row>
    <row r="498" spans="1:58" x14ac:dyDescent="0.35">
      <c r="A498" s="411" t="s">
        <v>955</v>
      </c>
      <c r="B498" s="533" t="s">
        <v>132</v>
      </c>
      <c r="C498" s="534" t="s">
        <v>925</v>
      </c>
      <c r="D498" s="535">
        <f t="shared" si="450"/>
        <v>0</v>
      </c>
      <c r="E498" s="536">
        <f t="shared" ref="E498:BC498" si="487">+E476-E454</f>
        <v>0</v>
      </c>
      <c r="F498" s="536">
        <f t="shared" si="487"/>
        <v>0</v>
      </c>
      <c r="G498" s="536">
        <f t="shared" si="487"/>
        <v>0</v>
      </c>
      <c r="H498" s="536">
        <f t="shared" si="487"/>
        <v>0</v>
      </c>
      <c r="I498" s="536">
        <f t="shared" si="487"/>
        <v>0</v>
      </c>
      <c r="J498" s="536">
        <f t="shared" si="487"/>
        <v>0</v>
      </c>
      <c r="K498" s="536">
        <f t="shared" si="487"/>
        <v>0</v>
      </c>
      <c r="L498" s="536">
        <f t="shared" si="487"/>
        <v>0</v>
      </c>
      <c r="M498" s="536">
        <f t="shared" si="487"/>
        <v>0</v>
      </c>
      <c r="N498" s="536">
        <f t="shared" si="487"/>
        <v>0</v>
      </c>
      <c r="O498" s="536">
        <f t="shared" si="487"/>
        <v>0</v>
      </c>
      <c r="P498" s="536">
        <f t="shared" si="487"/>
        <v>0</v>
      </c>
      <c r="Q498" s="536">
        <f t="shared" si="487"/>
        <v>0</v>
      </c>
      <c r="R498" s="536">
        <f t="shared" si="487"/>
        <v>0</v>
      </c>
      <c r="S498" s="536">
        <f t="shared" si="487"/>
        <v>0</v>
      </c>
      <c r="T498" s="536">
        <f t="shared" si="487"/>
        <v>0</v>
      </c>
      <c r="U498" s="536">
        <f t="shared" si="487"/>
        <v>0</v>
      </c>
      <c r="V498" s="536">
        <f t="shared" si="487"/>
        <v>0</v>
      </c>
      <c r="W498" s="536">
        <f t="shared" si="487"/>
        <v>0</v>
      </c>
      <c r="X498" s="536">
        <f t="shared" si="487"/>
        <v>0</v>
      </c>
      <c r="Y498" s="536">
        <f t="shared" si="487"/>
        <v>0</v>
      </c>
      <c r="Z498" s="536">
        <f t="shared" si="487"/>
        <v>0</v>
      </c>
      <c r="AA498" s="536">
        <f t="shared" si="487"/>
        <v>0</v>
      </c>
      <c r="AB498" s="536">
        <f t="shared" si="487"/>
        <v>0</v>
      </c>
      <c r="AC498" s="536">
        <f t="shared" si="487"/>
        <v>0</v>
      </c>
      <c r="AD498" s="536">
        <f t="shared" ref="AD498" si="488">+AD476-AD454</f>
        <v>0</v>
      </c>
      <c r="AE498" s="535">
        <f t="shared" si="487"/>
        <v>0</v>
      </c>
      <c r="AF498" s="536">
        <f t="shared" si="487"/>
        <v>0</v>
      </c>
      <c r="AG498" s="536">
        <f t="shared" si="487"/>
        <v>0</v>
      </c>
      <c r="AH498" s="536">
        <f t="shared" si="487"/>
        <v>0</v>
      </c>
      <c r="AI498" s="536">
        <f t="shared" si="487"/>
        <v>0</v>
      </c>
      <c r="AJ498" s="536">
        <f t="shared" ref="AJ498" si="489">+AJ476-AJ454</f>
        <v>0</v>
      </c>
      <c r="AK498" s="536">
        <f t="shared" ref="AK498:AL498" si="490">+AK476-AK454</f>
        <v>0</v>
      </c>
      <c r="AL498" s="536">
        <f t="shared" si="490"/>
        <v>0</v>
      </c>
      <c r="AM498" s="536">
        <f t="shared" ref="AM498:AO498" si="491">+AM476-AM454</f>
        <v>0</v>
      </c>
      <c r="AN498" s="536">
        <f t="shared" si="491"/>
        <v>0</v>
      </c>
      <c r="AO498" s="536">
        <f t="shared" si="491"/>
        <v>0</v>
      </c>
      <c r="AP498" s="536">
        <f t="shared" si="487"/>
        <v>0</v>
      </c>
      <c r="AQ498" s="536">
        <f t="shared" si="487"/>
        <v>0</v>
      </c>
      <c r="AR498" s="536">
        <f t="shared" si="487"/>
        <v>0</v>
      </c>
      <c r="AS498" s="536">
        <f t="shared" si="448"/>
        <v>-953145.69718474289</v>
      </c>
      <c r="AT498" s="536">
        <f t="shared" ref="AT498:AZ498" si="492">+AT476-AT454</f>
        <v>0</v>
      </c>
      <c r="AU498" s="536">
        <f t="shared" si="492"/>
        <v>0</v>
      </c>
      <c r="AV498" s="536">
        <f t="shared" si="492"/>
        <v>0</v>
      </c>
      <c r="AW498" s="536">
        <f t="shared" si="492"/>
        <v>0</v>
      </c>
      <c r="AX498" s="536">
        <f t="shared" si="492"/>
        <v>0</v>
      </c>
      <c r="AY498" s="536">
        <f t="shared" si="492"/>
        <v>0</v>
      </c>
      <c r="AZ498" s="536">
        <f t="shared" si="492"/>
        <v>0</v>
      </c>
      <c r="BB498" s="536">
        <f t="shared" si="487"/>
        <v>0</v>
      </c>
      <c r="BC498" s="537">
        <f t="shared" si="487"/>
        <v>0</v>
      </c>
      <c r="BD498" s="444"/>
      <c r="BE498" s="536"/>
      <c r="BF498" s="336"/>
    </row>
    <row r="499" spans="1:58" x14ac:dyDescent="0.35">
      <c r="A499" s="411" t="s">
        <v>955</v>
      </c>
      <c r="B499" s="538" t="s">
        <v>187</v>
      </c>
      <c r="C499" s="539" t="s">
        <v>925</v>
      </c>
      <c r="D499" s="535">
        <f t="shared" si="450"/>
        <v>-10868500.580367595</v>
      </c>
      <c r="E499" s="536">
        <f t="shared" ref="E499:BC499" si="493">+E477-E455</f>
        <v>-10096813.473736869</v>
      </c>
      <c r="F499" s="536">
        <f t="shared" si="493"/>
        <v>0</v>
      </c>
      <c r="G499" s="536">
        <f t="shared" si="493"/>
        <v>0</v>
      </c>
      <c r="H499" s="536">
        <f t="shared" si="493"/>
        <v>0</v>
      </c>
      <c r="I499" s="536">
        <f t="shared" si="493"/>
        <v>0</v>
      </c>
      <c r="J499" s="536">
        <f t="shared" si="493"/>
        <v>0</v>
      </c>
      <c r="K499" s="536">
        <f t="shared" si="493"/>
        <v>0</v>
      </c>
      <c r="L499" s="536">
        <f t="shared" si="493"/>
        <v>0</v>
      </c>
      <c r="M499" s="536">
        <f t="shared" si="493"/>
        <v>0</v>
      </c>
      <c r="N499" s="536">
        <f t="shared" si="493"/>
        <v>0</v>
      </c>
      <c r="O499" s="536">
        <f t="shared" si="493"/>
        <v>0</v>
      </c>
      <c r="P499" s="536">
        <f t="shared" si="493"/>
        <v>0</v>
      </c>
      <c r="Q499" s="536">
        <f t="shared" si="493"/>
        <v>0</v>
      </c>
      <c r="R499" s="536">
        <f t="shared" si="493"/>
        <v>0</v>
      </c>
      <c r="S499" s="536">
        <f t="shared" si="493"/>
        <v>0</v>
      </c>
      <c r="T499" s="536">
        <f t="shared" si="493"/>
        <v>0</v>
      </c>
      <c r="U499" s="536">
        <f t="shared" si="493"/>
        <v>0</v>
      </c>
      <c r="V499" s="536">
        <f t="shared" si="493"/>
        <v>0</v>
      </c>
      <c r="W499" s="536">
        <f t="shared" si="493"/>
        <v>0</v>
      </c>
      <c r="X499" s="536">
        <f t="shared" si="493"/>
        <v>0</v>
      </c>
      <c r="Y499" s="536">
        <f t="shared" si="493"/>
        <v>0</v>
      </c>
      <c r="Z499" s="536">
        <f t="shared" si="493"/>
        <v>0</v>
      </c>
      <c r="AA499" s="536">
        <f t="shared" si="493"/>
        <v>0</v>
      </c>
      <c r="AB499" s="536">
        <f t="shared" si="493"/>
        <v>0</v>
      </c>
      <c r="AC499" s="536">
        <f t="shared" si="493"/>
        <v>0</v>
      </c>
      <c r="AD499" s="536">
        <f t="shared" ref="AD499" si="494">+AD477-AD455</f>
        <v>0</v>
      </c>
      <c r="AE499" s="535">
        <f t="shared" si="493"/>
        <v>670589.23965829611</v>
      </c>
      <c r="AF499" s="536">
        <f t="shared" si="493"/>
        <v>-1152.9170068667736</v>
      </c>
      <c r="AG499" s="536">
        <f t="shared" si="493"/>
        <v>-490506.91169213131</v>
      </c>
      <c r="AH499" s="536">
        <f t="shared" si="493"/>
        <v>-329787.48323152773</v>
      </c>
      <c r="AI499" s="536">
        <f t="shared" si="493"/>
        <v>-50529.080313849961</v>
      </c>
      <c r="AJ499" s="536">
        <f t="shared" ref="AJ499" si="495">+AJ477-AJ455</f>
        <v>-209937.11778842844</v>
      </c>
      <c r="AK499" s="536">
        <f t="shared" ref="AK499:AL499" si="496">+AK477-AK455</f>
        <v>0</v>
      </c>
      <c r="AL499" s="536">
        <f t="shared" si="496"/>
        <v>0</v>
      </c>
      <c r="AM499" s="536">
        <f t="shared" ref="AM499:AO499" si="497">+AM477-AM455</f>
        <v>0</v>
      </c>
      <c r="AN499" s="536">
        <f t="shared" si="497"/>
        <v>0</v>
      </c>
      <c r="AO499" s="536">
        <f t="shared" si="497"/>
        <v>0</v>
      </c>
      <c r="AP499" s="536">
        <f t="shared" si="493"/>
        <v>0</v>
      </c>
      <c r="AQ499" s="536">
        <f t="shared" si="493"/>
        <v>33633.846150042024</v>
      </c>
      <c r="AR499" s="536">
        <f t="shared" si="493"/>
        <v>-3696.50372542697</v>
      </c>
      <c r="AS499" s="536">
        <f t="shared" si="448"/>
        <v>779573.35633955558</v>
      </c>
      <c r="AT499" s="536">
        <f t="shared" ref="AT499:AZ499" si="498">+AT477-AT455</f>
        <v>0</v>
      </c>
      <c r="AU499" s="536">
        <f t="shared" si="498"/>
        <v>0</v>
      </c>
      <c r="AV499" s="536">
        <f t="shared" si="498"/>
        <v>0</v>
      </c>
      <c r="AW499" s="536">
        <f t="shared" si="498"/>
        <v>0</v>
      </c>
      <c r="AX499" s="536">
        <f t="shared" si="498"/>
        <v>0</v>
      </c>
      <c r="AY499" s="536">
        <f t="shared" si="498"/>
        <v>0</v>
      </c>
      <c r="AZ499" s="536">
        <f t="shared" si="498"/>
        <v>0</v>
      </c>
      <c r="BB499" s="536">
        <f t="shared" si="493"/>
        <v>-10478200.401686762</v>
      </c>
      <c r="BC499" s="537">
        <f t="shared" si="493"/>
        <v>-21346700.982054427</v>
      </c>
      <c r="BD499" s="444"/>
      <c r="BE499" s="536"/>
      <c r="BF499" s="336"/>
    </row>
    <row r="500" spans="1:58" x14ac:dyDescent="0.35">
      <c r="A500" s="411" t="s">
        <v>955</v>
      </c>
      <c r="B500" s="528" t="s">
        <v>940</v>
      </c>
      <c r="C500" s="529" t="s">
        <v>941</v>
      </c>
      <c r="D500" s="530">
        <f t="shared" si="450"/>
        <v>7615147.9804675579</v>
      </c>
      <c r="E500" s="531">
        <f t="shared" ref="E500:BC500" si="499">+E478-E456</f>
        <v>3619159.5965204705</v>
      </c>
      <c r="F500" s="531">
        <f t="shared" si="499"/>
        <v>0</v>
      </c>
      <c r="G500" s="531">
        <f t="shared" si="499"/>
        <v>0</v>
      </c>
      <c r="H500" s="531">
        <f t="shared" si="499"/>
        <v>0</v>
      </c>
      <c r="I500" s="531">
        <f>+I478-I456</f>
        <v>481572.67081554746</v>
      </c>
      <c r="J500" s="531">
        <f t="shared" si="499"/>
        <v>0</v>
      </c>
      <c r="K500" s="531">
        <f t="shared" si="499"/>
        <v>0</v>
      </c>
      <c r="L500" s="531">
        <f t="shared" si="499"/>
        <v>0</v>
      </c>
      <c r="M500" s="531">
        <f t="shared" si="499"/>
        <v>0</v>
      </c>
      <c r="N500" s="531">
        <f t="shared" si="499"/>
        <v>0</v>
      </c>
      <c r="O500" s="531">
        <f t="shared" si="499"/>
        <v>0</v>
      </c>
      <c r="P500" s="531">
        <f t="shared" si="499"/>
        <v>0</v>
      </c>
      <c r="Q500" s="531">
        <f t="shared" si="499"/>
        <v>0</v>
      </c>
      <c r="R500" s="531">
        <f t="shared" si="499"/>
        <v>0</v>
      </c>
      <c r="S500" s="531">
        <f t="shared" si="499"/>
        <v>0</v>
      </c>
      <c r="T500" s="531">
        <f t="shared" si="499"/>
        <v>0</v>
      </c>
      <c r="U500" s="531">
        <f t="shared" si="499"/>
        <v>0</v>
      </c>
      <c r="V500" s="531">
        <f t="shared" si="499"/>
        <v>0</v>
      </c>
      <c r="W500" s="531">
        <f t="shared" si="499"/>
        <v>0</v>
      </c>
      <c r="X500" s="531">
        <f t="shared" si="499"/>
        <v>0</v>
      </c>
      <c r="Y500" s="531">
        <f t="shared" si="499"/>
        <v>0</v>
      </c>
      <c r="Z500" s="531">
        <f t="shared" si="499"/>
        <v>4500543.6836776305</v>
      </c>
      <c r="AA500" s="531">
        <f t="shared" si="499"/>
        <v>0</v>
      </c>
      <c r="AB500" s="531">
        <f t="shared" si="499"/>
        <v>0</v>
      </c>
      <c r="AC500" s="531">
        <f t="shared" si="499"/>
        <v>0</v>
      </c>
      <c r="AD500" s="531">
        <f t="shared" ref="AD500" si="500">+AD478-AD456</f>
        <v>0</v>
      </c>
      <c r="AE500" s="530">
        <f t="shared" si="499"/>
        <v>0</v>
      </c>
      <c r="AF500" s="531">
        <f t="shared" si="499"/>
        <v>0</v>
      </c>
      <c r="AG500" s="531">
        <f t="shared" si="499"/>
        <v>0</v>
      </c>
      <c r="AH500" s="531">
        <f t="shared" si="499"/>
        <v>0</v>
      </c>
      <c r="AI500" s="531">
        <f t="shared" si="499"/>
        <v>0</v>
      </c>
      <c r="AJ500" s="531">
        <f t="shared" ref="AJ500" si="501">+AJ478-AJ456</f>
        <v>0</v>
      </c>
      <c r="AK500" s="531">
        <f t="shared" ref="AK500:AL500" si="502">+AK478-AK456</f>
        <v>0</v>
      </c>
      <c r="AL500" s="531">
        <f t="shared" si="502"/>
        <v>0</v>
      </c>
      <c r="AM500" s="531">
        <f t="shared" ref="AM500:AO500" si="503">+AM478-AM456</f>
        <v>0</v>
      </c>
      <c r="AN500" s="531">
        <f t="shared" si="503"/>
        <v>0</v>
      </c>
      <c r="AO500" s="531">
        <f t="shared" si="503"/>
        <v>0</v>
      </c>
      <c r="AP500" s="531">
        <f t="shared" si="499"/>
        <v>0</v>
      </c>
      <c r="AQ500" s="531">
        <f t="shared" si="499"/>
        <v>0</v>
      </c>
      <c r="AR500" s="531">
        <f t="shared" si="499"/>
        <v>0</v>
      </c>
      <c r="AS500" s="531">
        <f t="shared" si="448"/>
        <v>-4374420.2044552509</v>
      </c>
      <c r="AT500" s="531">
        <f t="shared" ref="AT500:AZ500" si="504">+AT478-AT456</f>
        <v>0</v>
      </c>
      <c r="AU500" s="531">
        <f t="shared" si="504"/>
        <v>0</v>
      </c>
      <c r="AV500" s="531">
        <f t="shared" si="504"/>
        <v>0</v>
      </c>
      <c r="AW500" s="531">
        <f t="shared" si="504"/>
        <v>0</v>
      </c>
      <c r="AX500" s="531">
        <f t="shared" si="504"/>
        <v>0</v>
      </c>
      <c r="AY500" s="531">
        <f t="shared" si="504"/>
        <v>0</v>
      </c>
      <c r="AZ500" s="531">
        <f t="shared" si="504"/>
        <v>0</v>
      </c>
      <c r="BB500" s="531">
        <f t="shared" si="499"/>
        <v>4748950.9510136396</v>
      </c>
      <c r="BC500" s="532">
        <f t="shared" si="499"/>
        <v>12364098.931481183</v>
      </c>
      <c r="BD500" s="444"/>
      <c r="BE500" s="536"/>
      <c r="BF500" s="336"/>
    </row>
    <row r="501" spans="1:58" x14ac:dyDescent="0.35">
      <c r="A501" s="411" t="s">
        <v>955</v>
      </c>
      <c r="B501" s="533" t="s">
        <v>132</v>
      </c>
      <c r="C501" s="534" t="s">
        <v>941</v>
      </c>
      <c r="D501" s="535">
        <f t="shared" si="450"/>
        <v>0</v>
      </c>
      <c r="E501" s="536">
        <f t="shared" ref="E501:BC501" si="505">+E479-E457</f>
        <v>0</v>
      </c>
      <c r="F501" s="536">
        <f t="shared" si="505"/>
        <v>0</v>
      </c>
      <c r="G501" s="536">
        <f t="shared" si="505"/>
        <v>0</v>
      </c>
      <c r="H501" s="536">
        <f t="shared" si="505"/>
        <v>0</v>
      </c>
      <c r="I501" s="536">
        <f t="shared" si="505"/>
        <v>0</v>
      </c>
      <c r="J501" s="536">
        <f t="shared" si="505"/>
        <v>0</v>
      </c>
      <c r="K501" s="536">
        <f t="shared" si="505"/>
        <v>0</v>
      </c>
      <c r="L501" s="536">
        <f t="shared" si="505"/>
        <v>0</v>
      </c>
      <c r="M501" s="536">
        <f t="shared" si="505"/>
        <v>0</v>
      </c>
      <c r="N501" s="536">
        <f t="shared" si="505"/>
        <v>0</v>
      </c>
      <c r="O501" s="536">
        <f t="shared" si="505"/>
        <v>0</v>
      </c>
      <c r="P501" s="536">
        <f t="shared" si="505"/>
        <v>0</v>
      </c>
      <c r="Q501" s="536">
        <f t="shared" si="505"/>
        <v>0</v>
      </c>
      <c r="R501" s="536">
        <f t="shared" si="505"/>
        <v>0</v>
      </c>
      <c r="S501" s="536">
        <f t="shared" si="505"/>
        <v>0</v>
      </c>
      <c r="T501" s="536">
        <f t="shared" si="505"/>
        <v>0</v>
      </c>
      <c r="U501" s="536">
        <f t="shared" si="505"/>
        <v>0</v>
      </c>
      <c r="V501" s="536">
        <f t="shared" si="505"/>
        <v>0</v>
      </c>
      <c r="W501" s="536">
        <f t="shared" si="505"/>
        <v>0</v>
      </c>
      <c r="X501" s="536">
        <f t="shared" si="505"/>
        <v>0</v>
      </c>
      <c r="Y501" s="536">
        <f t="shared" si="505"/>
        <v>0</v>
      </c>
      <c r="Z501" s="536">
        <f t="shared" si="505"/>
        <v>0</v>
      </c>
      <c r="AA501" s="536">
        <f t="shared" si="505"/>
        <v>0</v>
      </c>
      <c r="AB501" s="536">
        <f t="shared" si="505"/>
        <v>0</v>
      </c>
      <c r="AC501" s="536">
        <f t="shared" si="505"/>
        <v>0</v>
      </c>
      <c r="AD501" s="536">
        <f t="shared" ref="AD501" si="506">+AD479-AD457</f>
        <v>0</v>
      </c>
      <c r="AE501" s="535">
        <f t="shared" si="505"/>
        <v>0</v>
      </c>
      <c r="AF501" s="536">
        <f t="shared" si="505"/>
        <v>0</v>
      </c>
      <c r="AG501" s="536">
        <f t="shared" si="505"/>
        <v>0</v>
      </c>
      <c r="AH501" s="536">
        <f t="shared" si="505"/>
        <v>0</v>
      </c>
      <c r="AI501" s="536">
        <f t="shared" si="505"/>
        <v>0</v>
      </c>
      <c r="AJ501" s="536">
        <f t="shared" ref="AJ501" si="507">+AJ479-AJ457</f>
        <v>0</v>
      </c>
      <c r="AK501" s="536">
        <f t="shared" ref="AK501:AL501" si="508">+AK479-AK457</f>
        <v>0</v>
      </c>
      <c r="AL501" s="536">
        <f t="shared" si="508"/>
        <v>0</v>
      </c>
      <c r="AM501" s="536">
        <f t="shared" ref="AM501:AO501" si="509">+AM479-AM457</f>
        <v>0</v>
      </c>
      <c r="AN501" s="536">
        <f t="shared" si="509"/>
        <v>0</v>
      </c>
      <c r="AO501" s="536">
        <f t="shared" si="509"/>
        <v>0</v>
      </c>
      <c r="AP501" s="536">
        <f t="shared" si="505"/>
        <v>0</v>
      </c>
      <c r="AQ501" s="536">
        <f t="shared" si="505"/>
        <v>0</v>
      </c>
      <c r="AR501" s="536">
        <f t="shared" si="505"/>
        <v>0</v>
      </c>
      <c r="AS501" s="536">
        <f t="shared" si="448"/>
        <v>-576639.62190245662</v>
      </c>
      <c r="AT501" s="536">
        <f t="shared" ref="AT501:AZ501" si="510">+AT479-AT457</f>
        <v>0</v>
      </c>
      <c r="AU501" s="536">
        <f t="shared" si="510"/>
        <v>0</v>
      </c>
      <c r="AV501" s="536">
        <f t="shared" si="510"/>
        <v>0</v>
      </c>
      <c r="AW501" s="536">
        <f t="shared" si="510"/>
        <v>0</v>
      </c>
      <c r="AX501" s="536">
        <f t="shared" si="510"/>
        <v>0</v>
      </c>
      <c r="AY501" s="536">
        <f t="shared" si="510"/>
        <v>0</v>
      </c>
      <c r="AZ501" s="536">
        <f t="shared" si="510"/>
        <v>0</v>
      </c>
      <c r="BB501" s="536">
        <f t="shared" si="505"/>
        <v>0</v>
      </c>
      <c r="BC501" s="537">
        <f t="shared" si="505"/>
        <v>0</v>
      </c>
      <c r="BD501" s="444"/>
      <c r="BE501" s="536"/>
      <c r="BF501" s="336"/>
    </row>
    <row r="502" spans="1:58" x14ac:dyDescent="0.35">
      <c r="A502" s="411" t="s">
        <v>955</v>
      </c>
      <c r="B502" s="538" t="s">
        <v>187</v>
      </c>
      <c r="C502" s="539" t="s">
        <v>941</v>
      </c>
      <c r="D502" s="535">
        <f t="shared" si="450"/>
        <v>-21346700.982054427</v>
      </c>
      <c r="E502" s="536">
        <f t="shared" ref="E502:BC502" si="511">+E480-E458</f>
        <v>-4798590.844390735</v>
      </c>
      <c r="F502" s="536">
        <f t="shared" si="511"/>
        <v>0</v>
      </c>
      <c r="G502" s="536">
        <f t="shared" si="511"/>
        <v>0</v>
      </c>
      <c r="H502" s="536">
        <f t="shared" si="511"/>
        <v>0</v>
      </c>
      <c r="I502" s="536">
        <f t="shared" si="511"/>
        <v>-638510.1699593449</v>
      </c>
      <c r="J502" s="536">
        <f t="shared" si="511"/>
        <v>0</v>
      </c>
      <c r="K502" s="536">
        <f t="shared" si="511"/>
        <v>0</v>
      </c>
      <c r="L502" s="536">
        <f t="shared" si="511"/>
        <v>0</v>
      </c>
      <c r="M502" s="536">
        <f t="shared" si="511"/>
        <v>0</v>
      </c>
      <c r="N502" s="536">
        <f t="shared" si="511"/>
        <v>0</v>
      </c>
      <c r="O502" s="536">
        <f t="shared" si="511"/>
        <v>0</v>
      </c>
      <c r="P502" s="536">
        <f t="shared" si="511"/>
        <v>0</v>
      </c>
      <c r="Q502" s="536">
        <f t="shared" si="511"/>
        <v>0</v>
      </c>
      <c r="R502" s="536">
        <f t="shared" si="511"/>
        <v>0</v>
      </c>
      <c r="S502" s="536">
        <f t="shared" si="511"/>
        <v>0</v>
      </c>
      <c r="T502" s="536">
        <f t="shared" si="511"/>
        <v>0</v>
      </c>
      <c r="U502" s="536">
        <f t="shared" si="511"/>
        <v>0</v>
      </c>
      <c r="V502" s="536">
        <f t="shared" si="511"/>
        <v>0</v>
      </c>
      <c r="W502" s="536">
        <f t="shared" si="511"/>
        <v>0</v>
      </c>
      <c r="X502" s="536">
        <f t="shared" si="511"/>
        <v>0</v>
      </c>
      <c r="Y502" s="536">
        <f t="shared" si="511"/>
        <v>0</v>
      </c>
      <c r="Z502" s="536">
        <f t="shared" si="511"/>
        <v>-5967205.1312794015</v>
      </c>
      <c r="AA502" s="536">
        <f t="shared" si="511"/>
        <v>0</v>
      </c>
      <c r="AB502" s="536">
        <f t="shared" si="511"/>
        <v>0</v>
      </c>
      <c r="AC502" s="536">
        <f t="shared" si="511"/>
        <v>0</v>
      </c>
      <c r="AD502" s="536">
        <f t="shared" ref="AD502" si="512">+AD480-AD458</f>
        <v>0</v>
      </c>
      <c r="AE502" s="535">
        <f t="shared" si="511"/>
        <v>429130.31038876623</v>
      </c>
      <c r="AF502" s="536">
        <f t="shared" si="511"/>
        <v>-1644.9980446504196</v>
      </c>
      <c r="AG502" s="536">
        <f t="shared" si="511"/>
        <v>-202316.57700024731</v>
      </c>
      <c r="AH502" s="536">
        <f t="shared" si="511"/>
        <v>-94027.075914230198</v>
      </c>
      <c r="AI502" s="536">
        <f t="shared" si="511"/>
        <v>1086.9159577599494</v>
      </c>
      <c r="AJ502" s="536">
        <f t="shared" ref="AJ502" si="513">+AJ480-AJ458</f>
        <v>-17076.048429517075</v>
      </c>
      <c r="AK502" s="536">
        <f t="shared" ref="AK502:AL502" si="514">+AK480-AK458</f>
        <v>0</v>
      </c>
      <c r="AL502" s="536">
        <f t="shared" si="514"/>
        <v>0</v>
      </c>
      <c r="AM502" s="536">
        <f t="shared" ref="AM502:AO502" si="515">+AM480-AM458</f>
        <v>0</v>
      </c>
      <c r="AN502" s="536">
        <f t="shared" si="515"/>
        <v>0</v>
      </c>
      <c r="AO502" s="536">
        <f t="shared" si="515"/>
        <v>0</v>
      </c>
      <c r="AP502" s="536">
        <f t="shared" si="511"/>
        <v>0</v>
      </c>
      <c r="AQ502" s="536">
        <f t="shared" si="511"/>
        <v>20053.175976101367</v>
      </c>
      <c r="AR502" s="536">
        <f t="shared" si="511"/>
        <v>-2236.3323014383204</v>
      </c>
      <c r="AS502" s="536">
        <f t="shared" si="448"/>
        <v>4668865.4576090751</v>
      </c>
      <c r="AT502" s="536">
        <f t="shared" ref="AT502:AZ502" si="516">+AT480-AT458</f>
        <v>0</v>
      </c>
      <c r="AU502" s="536">
        <f t="shared" si="516"/>
        <v>0</v>
      </c>
      <c r="AV502" s="536">
        <f t="shared" si="516"/>
        <v>0</v>
      </c>
      <c r="AW502" s="536">
        <f t="shared" si="516"/>
        <v>0</v>
      </c>
      <c r="AX502" s="536">
        <f t="shared" si="516"/>
        <v>0</v>
      </c>
      <c r="AY502" s="536">
        <f t="shared" si="516"/>
        <v>0</v>
      </c>
      <c r="AZ502" s="536">
        <f t="shared" si="516"/>
        <v>0</v>
      </c>
      <c r="BB502" s="536">
        <f t="shared" si="511"/>
        <v>-6163595.3279521614</v>
      </c>
      <c r="BC502" s="537">
        <f t="shared" si="511"/>
        <v>-27510296.310006559</v>
      </c>
      <c r="BD502" s="444"/>
      <c r="BE502" s="536"/>
      <c r="BF502" s="336"/>
    </row>
    <row r="503" spans="1:58" x14ac:dyDescent="0.35">
      <c r="A503" s="411" t="s">
        <v>955</v>
      </c>
      <c r="B503" s="528" t="s">
        <v>940</v>
      </c>
      <c r="C503" s="529" t="s">
        <v>942</v>
      </c>
      <c r="D503" s="530">
        <f t="shared" si="450"/>
        <v>12364098.931481183</v>
      </c>
      <c r="E503" s="531">
        <f t="shared" ref="E503:BC503" si="517">+E481-E459</f>
        <v>1498333.4086555745</v>
      </c>
      <c r="F503" s="531">
        <f t="shared" si="517"/>
        <v>0</v>
      </c>
      <c r="G503" s="531">
        <f t="shared" si="517"/>
        <v>0</v>
      </c>
      <c r="H503" s="531">
        <f t="shared" si="517"/>
        <v>0</v>
      </c>
      <c r="I503" s="531">
        <f t="shared" si="517"/>
        <v>360187.04826778604</v>
      </c>
      <c r="J503" s="531">
        <f t="shared" si="517"/>
        <v>0</v>
      </c>
      <c r="K503" s="531">
        <f t="shared" si="517"/>
        <v>0</v>
      </c>
      <c r="L503" s="531">
        <f t="shared" si="517"/>
        <v>0</v>
      </c>
      <c r="M503" s="531">
        <f t="shared" si="517"/>
        <v>0</v>
      </c>
      <c r="N503" s="531">
        <f t="shared" si="517"/>
        <v>0</v>
      </c>
      <c r="O503" s="531">
        <f t="shared" si="517"/>
        <v>0</v>
      </c>
      <c r="P503" s="531">
        <f t="shared" si="517"/>
        <v>0</v>
      </c>
      <c r="Q503" s="531">
        <f t="shared" si="517"/>
        <v>0</v>
      </c>
      <c r="R503" s="531">
        <f t="shared" si="517"/>
        <v>0</v>
      </c>
      <c r="S503" s="531">
        <f t="shared" si="517"/>
        <v>0</v>
      </c>
      <c r="T503" s="531">
        <f t="shared" si="517"/>
        <v>0</v>
      </c>
      <c r="U503" s="531">
        <f t="shared" si="517"/>
        <v>0</v>
      </c>
      <c r="V503" s="531">
        <f t="shared" si="517"/>
        <v>0</v>
      </c>
      <c r="W503" s="531">
        <f t="shared" si="517"/>
        <v>0</v>
      </c>
      <c r="X503" s="531">
        <f t="shared" si="517"/>
        <v>0</v>
      </c>
      <c r="Y503" s="531">
        <f t="shared" si="517"/>
        <v>0</v>
      </c>
      <c r="Z503" s="531">
        <f t="shared" si="517"/>
        <v>419069.11584638245</v>
      </c>
      <c r="AA503" s="531">
        <f t="shared" si="517"/>
        <v>0</v>
      </c>
      <c r="AB503" s="531">
        <f t="shared" si="517"/>
        <v>0</v>
      </c>
      <c r="AC503" s="531">
        <f t="shared" si="517"/>
        <v>0</v>
      </c>
      <c r="AD503" s="531">
        <f t="shared" ref="AD503" si="518">+AD481-AD459</f>
        <v>0</v>
      </c>
      <c r="AE503" s="530">
        <f t="shared" si="517"/>
        <v>0</v>
      </c>
      <c r="AF503" s="531">
        <f t="shared" si="517"/>
        <v>0</v>
      </c>
      <c r="AG503" s="531">
        <f t="shared" si="517"/>
        <v>0</v>
      </c>
      <c r="AH503" s="531">
        <f t="shared" si="517"/>
        <v>0</v>
      </c>
      <c r="AI503" s="531">
        <f t="shared" si="517"/>
        <v>0</v>
      </c>
      <c r="AJ503" s="531">
        <f t="shared" ref="AJ503" si="519">+AJ481-AJ459</f>
        <v>0</v>
      </c>
      <c r="AK503" s="531">
        <f t="shared" ref="AK503:AL503" si="520">+AK481-AK459</f>
        <v>0</v>
      </c>
      <c r="AL503" s="531">
        <f t="shared" si="520"/>
        <v>0</v>
      </c>
      <c r="AM503" s="531">
        <f t="shared" ref="AM503:AO503" si="521">+AM481-AM459</f>
        <v>0</v>
      </c>
      <c r="AN503" s="531">
        <f t="shared" si="521"/>
        <v>0</v>
      </c>
      <c r="AO503" s="531">
        <f t="shared" si="521"/>
        <v>0</v>
      </c>
      <c r="AP503" s="531">
        <f t="shared" si="517"/>
        <v>0</v>
      </c>
      <c r="AQ503" s="531">
        <f t="shared" si="517"/>
        <v>0</v>
      </c>
      <c r="AR503" s="531">
        <f t="shared" si="517"/>
        <v>0</v>
      </c>
      <c r="AS503" s="531">
        <f t="shared" si="448"/>
        <v>-4537124.570344314</v>
      </c>
      <c r="AT503" s="531">
        <f t="shared" ref="AT503:AZ503" si="522">+AT481-AT459</f>
        <v>0</v>
      </c>
      <c r="AU503" s="531">
        <f t="shared" si="522"/>
        <v>0</v>
      </c>
      <c r="AV503" s="531">
        <f t="shared" si="522"/>
        <v>0</v>
      </c>
      <c r="AW503" s="531">
        <f t="shared" si="522"/>
        <v>0</v>
      </c>
      <c r="AX503" s="531">
        <f t="shared" si="522"/>
        <v>0</v>
      </c>
      <c r="AY503" s="531">
        <f t="shared" si="522"/>
        <v>0</v>
      </c>
      <c r="AZ503" s="531">
        <f t="shared" si="522"/>
        <v>0</v>
      </c>
      <c r="BB503" s="531">
        <f t="shared" si="517"/>
        <v>-1574735.4272302557</v>
      </c>
      <c r="BC503" s="532">
        <f t="shared" si="517"/>
        <v>10789363.504251003</v>
      </c>
      <c r="BD503" s="444"/>
      <c r="BE503" s="536"/>
      <c r="BF503" s="336"/>
    </row>
    <row r="504" spans="1:58" x14ac:dyDescent="0.35">
      <c r="A504" s="411" t="s">
        <v>955</v>
      </c>
      <c r="B504" s="533" t="s">
        <v>132</v>
      </c>
      <c r="C504" s="534" t="s">
        <v>942</v>
      </c>
      <c r="D504" s="535">
        <f t="shared" si="450"/>
        <v>0</v>
      </c>
      <c r="E504" s="536">
        <f t="shared" ref="E504:BC504" si="523">+E482-E460</f>
        <v>0</v>
      </c>
      <c r="F504" s="536">
        <f t="shared" si="523"/>
        <v>0</v>
      </c>
      <c r="G504" s="536">
        <f t="shared" si="523"/>
        <v>0</v>
      </c>
      <c r="H504" s="536">
        <f t="shared" si="523"/>
        <v>0</v>
      </c>
      <c r="I504" s="536">
        <f t="shared" si="523"/>
        <v>0</v>
      </c>
      <c r="J504" s="536">
        <f t="shared" si="523"/>
        <v>0</v>
      </c>
      <c r="K504" s="536">
        <f t="shared" si="523"/>
        <v>0</v>
      </c>
      <c r="L504" s="536">
        <f t="shared" si="523"/>
        <v>0</v>
      </c>
      <c r="M504" s="536">
        <f t="shared" si="523"/>
        <v>0</v>
      </c>
      <c r="N504" s="536">
        <f t="shared" si="523"/>
        <v>0</v>
      </c>
      <c r="O504" s="536">
        <f t="shared" si="523"/>
        <v>0</v>
      </c>
      <c r="P504" s="536">
        <f t="shared" si="523"/>
        <v>0</v>
      </c>
      <c r="Q504" s="536">
        <f t="shared" si="523"/>
        <v>0</v>
      </c>
      <c r="R504" s="536">
        <f t="shared" si="523"/>
        <v>0</v>
      </c>
      <c r="S504" s="536">
        <f t="shared" si="523"/>
        <v>0</v>
      </c>
      <c r="T504" s="536">
        <f t="shared" si="523"/>
        <v>0</v>
      </c>
      <c r="U504" s="536">
        <f t="shared" si="523"/>
        <v>0</v>
      </c>
      <c r="V504" s="536">
        <f t="shared" si="523"/>
        <v>0</v>
      </c>
      <c r="W504" s="536">
        <f t="shared" si="523"/>
        <v>0</v>
      </c>
      <c r="X504" s="536">
        <f t="shared" si="523"/>
        <v>0</v>
      </c>
      <c r="Y504" s="536">
        <f t="shared" si="523"/>
        <v>0</v>
      </c>
      <c r="Z504" s="536">
        <f t="shared" si="523"/>
        <v>0</v>
      </c>
      <c r="AA504" s="536">
        <f t="shared" si="523"/>
        <v>0</v>
      </c>
      <c r="AB504" s="536">
        <f t="shared" si="523"/>
        <v>0</v>
      </c>
      <c r="AC504" s="536">
        <f t="shared" si="523"/>
        <v>0</v>
      </c>
      <c r="AD504" s="536">
        <f t="shared" ref="AD504" si="524">+AD482-AD460</f>
        <v>0</v>
      </c>
      <c r="AE504" s="535">
        <f t="shared" si="523"/>
        <v>0</v>
      </c>
      <c r="AF504" s="536">
        <f t="shared" si="523"/>
        <v>0</v>
      </c>
      <c r="AG504" s="536">
        <f t="shared" si="523"/>
        <v>0</v>
      </c>
      <c r="AH504" s="536">
        <f t="shared" si="523"/>
        <v>0</v>
      </c>
      <c r="AI504" s="536">
        <f t="shared" si="523"/>
        <v>0</v>
      </c>
      <c r="AJ504" s="536">
        <f t="shared" ref="AJ504" si="525">+AJ482-AJ460</f>
        <v>0</v>
      </c>
      <c r="AK504" s="536">
        <f t="shared" ref="AK504:AL504" si="526">+AK482-AK460</f>
        <v>0</v>
      </c>
      <c r="AL504" s="536">
        <f t="shared" si="526"/>
        <v>0</v>
      </c>
      <c r="AM504" s="536">
        <f t="shared" ref="AM504:AO504" si="527">+AM482-AM460</f>
        <v>0</v>
      </c>
      <c r="AN504" s="536">
        <f t="shared" si="527"/>
        <v>0</v>
      </c>
      <c r="AO504" s="536">
        <f t="shared" si="527"/>
        <v>0</v>
      </c>
      <c r="AP504" s="536">
        <f t="shared" si="523"/>
        <v>0</v>
      </c>
      <c r="AQ504" s="536">
        <f t="shared" si="523"/>
        <v>0</v>
      </c>
      <c r="AR504" s="536">
        <f t="shared" si="523"/>
        <v>0</v>
      </c>
      <c r="AS504" s="536">
        <f t="shared" si="448"/>
        <v>-1152189.4358550543</v>
      </c>
      <c r="AT504" s="536">
        <f t="shared" ref="AT504:AZ504" si="528">+AT482-AT460</f>
        <v>0</v>
      </c>
      <c r="AU504" s="536">
        <f t="shared" si="528"/>
        <v>0</v>
      </c>
      <c r="AV504" s="536">
        <f t="shared" si="528"/>
        <v>0</v>
      </c>
      <c r="AW504" s="536">
        <f t="shared" si="528"/>
        <v>0</v>
      </c>
      <c r="AX504" s="536">
        <f t="shared" si="528"/>
        <v>0</v>
      </c>
      <c r="AY504" s="536">
        <f t="shared" si="528"/>
        <v>0</v>
      </c>
      <c r="AZ504" s="536">
        <f t="shared" si="528"/>
        <v>0</v>
      </c>
      <c r="BB504" s="536">
        <f t="shared" si="523"/>
        <v>0</v>
      </c>
      <c r="BC504" s="537">
        <f t="shared" si="523"/>
        <v>0</v>
      </c>
      <c r="BD504" s="444"/>
      <c r="BE504" s="536"/>
      <c r="BF504" s="336"/>
    </row>
    <row r="505" spans="1:58" x14ac:dyDescent="0.35">
      <c r="A505" s="411" t="s">
        <v>955</v>
      </c>
      <c r="B505" s="538" t="s">
        <v>187</v>
      </c>
      <c r="C505" s="539" t="s">
        <v>942</v>
      </c>
      <c r="D505" s="535">
        <f t="shared" si="450"/>
        <v>-27510296.310006559</v>
      </c>
      <c r="E505" s="536">
        <f t="shared" ref="E505:BC505" si="529">+E483-E461</f>
        <v>-1986618.3805577131</v>
      </c>
      <c r="F505" s="536">
        <f t="shared" si="529"/>
        <v>0</v>
      </c>
      <c r="G505" s="536">
        <f t="shared" si="529"/>
        <v>0</v>
      </c>
      <c r="H505" s="536">
        <f t="shared" si="529"/>
        <v>0</v>
      </c>
      <c r="I505" s="536">
        <f t="shared" si="529"/>
        <v>-477566.74608868588</v>
      </c>
      <c r="J505" s="536">
        <f t="shared" si="529"/>
        <v>0</v>
      </c>
      <c r="K505" s="536">
        <f t="shared" si="529"/>
        <v>0</v>
      </c>
      <c r="L505" s="536">
        <f t="shared" si="529"/>
        <v>0</v>
      </c>
      <c r="M505" s="536">
        <f t="shared" si="529"/>
        <v>0</v>
      </c>
      <c r="N505" s="536">
        <f t="shared" si="529"/>
        <v>0</v>
      </c>
      <c r="O505" s="536">
        <f t="shared" si="529"/>
        <v>0</v>
      </c>
      <c r="P505" s="536">
        <f t="shared" si="529"/>
        <v>0</v>
      </c>
      <c r="Q505" s="536">
        <f t="shared" si="529"/>
        <v>0</v>
      </c>
      <c r="R505" s="536">
        <f t="shared" si="529"/>
        <v>0</v>
      </c>
      <c r="S505" s="536">
        <f t="shared" si="529"/>
        <v>0</v>
      </c>
      <c r="T505" s="536">
        <f t="shared" si="529"/>
        <v>0</v>
      </c>
      <c r="U505" s="536">
        <f t="shared" si="529"/>
        <v>0</v>
      </c>
      <c r="V505" s="536">
        <f t="shared" si="529"/>
        <v>0</v>
      </c>
      <c r="W505" s="536">
        <f t="shared" si="529"/>
        <v>0</v>
      </c>
      <c r="X505" s="536">
        <f t="shared" si="529"/>
        <v>0</v>
      </c>
      <c r="Y505" s="536">
        <f t="shared" si="529"/>
        <v>0</v>
      </c>
      <c r="Z505" s="536">
        <f t="shared" si="529"/>
        <v>-555637.61940775719</v>
      </c>
      <c r="AA505" s="536">
        <f t="shared" si="529"/>
        <v>0</v>
      </c>
      <c r="AB505" s="536">
        <f t="shared" si="529"/>
        <v>0</v>
      </c>
      <c r="AC505" s="536">
        <f t="shared" si="529"/>
        <v>0</v>
      </c>
      <c r="AD505" s="536">
        <f t="shared" ref="AD505" si="530">+AD483-AD461</f>
        <v>0</v>
      </c>
      <c r="AE505" s="535">
        <f t="shared" si="529"/>
        <v>1743916.3589476459</v>
      </c>
      <c r="AF505" s="536">
        <f t="shared" si="529"/>
        <v>-9489.2493128599599</v>
      </c>
      <c r="AG505" s="536">
        <f t="shared" si="529"/>
        <v>-1006248.9131710269</v>
      </c>
      <c r="AH505" s="536">
        <f t="shared" si="529"/>
        <v>-358509.17023440264</v>
      </c>
      <c r="AI505" s="536">
        <f t="shared" si="529"/>
        <v>-14589.713061092829</v>
      </c>
      <c r="AJ505" s="536">
        <f t="shared" ref="AJ505" si="531">+AJ483-AJ461</f>
        <v>-362560.79811855964</v>
      </c>
      <c r="AK505" s="536">
        <f t="shared" ref="AK505:AL505" si="532">+AK483-AK461</f>
        <v>0</v>
      </c>
      <c r="AL505" s="536">
        <f t="shared" si="532"/>
        <v>0</v>
      </c>
      <c r="AM505" s="536">
        <f t="shared" ref="AM505:AO505" si="533">+AM483-AM461</f>
        <v>0</v>
      </c>
      <c r="AN505" s="536">
        <f t="shared" si="533"/>
        <v>0</v>
      </c>
      <c r="AO505" s="536">
        <f t="shared" si="533"/>
        <v>0</v>
      </c>
      <c r="AP505" s="536">
        <f t="shared" si="529"/>
        <v>0</v>
      </c>
      <c r="AQ505" s="536">
        <f t="shared" si="529"/>
        <v>44702.925496974029</v>
      </c>
      <c r="AR505" s="536">
        <f t="shared" si="529"/>
        <v>-9471.5610872544348</v>
      </c>
      <c r="AS505" s="536">
        <f t="shared" si="448"/>
        <v>4821020.5663645351</v>
      </c>
      <c r="AT505" s="536">
        <f t="shared" ref="AT505:AZ505" si="534">+AT483-AT461</f>
        <v>0</v>
      </c>
      <c r="AU505" s="536">
        <f t="shared" si="534"/>
        <v>0</v>
      </c>
      <c r="AV505" s="536">
        <f t="shared" si="534"/>
        <v>0</v>
      </c>
      <c r="AW505" s="536">
        <f t="shared" si="534"/>
        <v>0</v>
      </c>
      <c r="AX505" s="536">
        <f t="shared" si="534"/>
        <v>0</v>
      </c>
      <c r="AY505" s="536">
        <f t="shared" si="534"/>
        <v>0</v>
      </c>
      <c r="AZ505" s="536">
        <f t="shared" si="534"/>
        <v>0</v>
      </c>
      <c r="BB505" s="536">
        <f t="shared" si="529"/>
        <v>2115668.5804500692</v>
      </c>
      <c r="BC505" s="537">
        <f t="shared" si="529"/>
        <v>-25409285.932012945</v>
      </c>
      <c r="BD505" s="444"/>
      <c r="BE505" s="536"/>
      <c r="BF505" s="336"/>
    </row>
    <row r="506" spans="1:58" hidden="1" outlineLevel="1" x14ac:dyDescent="0.35">
      <c r="A506" s="411" t="s">
        <v>955</v>
      </c>
      <c r="B506" s="528" t="s">
        <v>940</v>
      </c>
      <c r="C506" s="529" t="s">
        <v>943</v>
      </c>
      <c r="D506" s="530">
        <f t="shared" si="450"/>
        <v>0</v>
      </c>
      <c r="E506" s="531">
        <f t="shared" ref="E506:BC506" si="535">+E484-E462</f>
        <v>0</v>
      </c>
      <c r="F506" s="531">
        <f t="shared" si="535"/>
        <v>0</v>
      </c>
      <c r="G506" s="531">
        <f t="shared" si="535"/>
        <v>0</v>
      </c>
      <c r="H506" s="531">
        <f t="shared" si="535"/>
        <v>0</v>
      </c>
      <c r="I506" s="531">
        <f t="shared" si="535"/>
        <v>0</v>
      </c>
      <c r="J506" s="531">
        <f t="shared" si="535"/>
        <v>0</v>
      </c>
      <c r="K506" s="531">
        <f t="shared" si="535"/>
        <v>0</v>
      </c>
      <c r="L506" s="531">
        <f t="shared" si="535"/>
        <v>0</v>
      </c>
      <c r="M506" s="531">
        <f t="shared" si="535"/>
        <v>0</v>
      </c>
      <c r="N506" s="531">
        <f t="shared" si="535"/>
        <v>0</v>
      </c>
      <c r="O506" s="531">
        <f t="shared" si="535"/>
        <v>0</v>
      </c>
      <c r="P506" s="531">
        <f t="shared" si="535"/>
        <v>0</v>
      </c>
      <c r="Q506" s="531">
        <f t="shared" si="535"/>
        <v>0</v>
      </c>
      <c r="R506" s="531">
        <f t="shared" si="535"/>
        <v>0</v>
      </c>
      <c r="S506" s="531">
        <f t="shared" si="535"/>
        <v>0</v>
      </c>
      <c r="T506" s="531">
        <f t="shared" si="535"/>
        <v>0</v>
      </c>
      <c r="U506" s="531">
        <f t="shared" si="535"/>
        <v>0</v>
      </c>
      <c r="V506" s="531">
        <f t="shared" si="535"/>
        <v>0</v>
      </c>
      <c r="W506" s="531">
        <f t="shared" si="535"/>
        <v>0</v>
      </c>
      <c r="X506" s="531">
        <f t="shared" si="535"/>
        <v>0</v>
      </c>
      <c r="Y506" s="531">
        <f t="shared" si="535"/>
        <v>0</v>
      </c>
      <c r="Z506" s="531">
        <f t="shared" si="535"/>
        <v>0</v>
      </c>
      <c r="AA506" s="531">
        <f t="shared" si="535"/>
        <v>0</v>
      </c>
      <c r="AB506" s="531">
        <f t="shared" si="535"/>
        <v>0</v>
      </c>
      <c r="AC506" s="531">
        <f t="shared" si="535"/>
        <v>0</v>
      </c>
      <c r="AD506" s="531">
        <f t="shared" ref="AD506" si="536">+AD484-AD462</f>
        <v>0</v>
      </c>
      <c r="AE506" s="530">
        <f t="shared" si="535"/>
        <v>0</v>
      </c>
      <c r="AF506" s="531">
        <f t="shared" si="535"/>
        <v>0</v>
      </c>
      <c r="AG506" s="531">
        <f t="shared" si="535"/>
        <v>0</v>
      </c>
      <c r="AH506" s="531">
        <f t="shared" si="535"/>
        <v>0</v>
      </c>
      <c r="AI506" s="531">
        <f t="shared" si="535"/>
        <v>0</v>
      </c>
      <c r="AJ506" s="531">
        <f t="shared" ref="AJ506" si="537">+AJ484-AJ462</f>
        <v>0</v>
      </c>
      <c r="AK506" s="531">
        <f t="shared" ref="AK506:AL506" si="538">+AK484-AK462</f>
        <v>0</v>
      </c>
      <c r="AL506" s="531">
        <f t="shared" si="538"/>
        <v>0</v>
      </c>
      <c r="AM506" s="531">
        <f t="shared" ref="AM506:AO506" si="539">+AM484-AM462</f>
        <v>0</v>
      </c>
      <c r="AN506" s="531">
        <f t="shared" si="539"/>
        <v>0</v>
      </c>
      <c r="AO506" s="531">
        <f t="shared" si="539"/>
        <v>0</v>
      </c>
      <c r="AP506" s="531">
        <f t="shared" si="535"/>
        <v>0</v>
      </c>
      <c r="AQ506" s="531">
        <f t="shared" si="535"/>
        <v>0</v>
      </c>
      <c r="AR506" s="531">
        <f t="shared" si="535"/>
        <v>0</v>
      </c>
      <c r="AS506" s="531">
        <f t="shared" si="448"/>
        <v>0</v>
      </c>
      <c r="AT506" s="531">
        <f t="shared" ref="AT506:AZ506" si="540">+AT484-AT462</f>
        <v>0</v>
      </c>
      <c r="AU506" s="531">
        <f t="shared" si="540"/>
        <v>0</v>
      </c>
      <c r="AV506" s="531">
        <f t="shared" si="540"/>
        <v>0</v>
      </c>
      <c r="AW506" s="531">
        <f t="shared" si="540"/>
        <v>0</v>
      </c>
      <c r="AX506" s="531">
        <f t="shared" si="540"/>
        <v>0</v>
      </c>
      <c r="AY506" s="531">
        <f t="shared" si="540"/>
        <v>0</v>
      </c>
      <c r="AZ506" s="531">
        <f t="shared" si="540"/>
        <v>0</v>
      </c>
      <c r="BB506" s="531">
        <f t="shared" si="535"/>
        <v>0</v>
      </c>
      <c r="BC506" s="532">
        <f t="shared" si="535"/>
        <v>0</v>
      </c>
      <c r="BD506" s="444"/>
      <c r="BE506" s="536"/>
      <c r="BF506" s="336"/>
    </row>
    <row r="507" spans="1:58" hidden="1" outlineLevel="1" x14ac:dyDescent="0.35">
      <c r="A507" s="411" t="s">
        <v>955</v>
      </c>
      <c r="B507" s="533" t="s">
        <v>132</v>
      </c>
      <c r="C507" s="534" t="s">
        <v>943</v>
      </c>
      <c r="D507" s="535">
        <f t="shared" si="450"/>
        <v>0</v>
      </c>
      <c r="E507" s="536">
        <f t="shared" ref="E507:BC507" si="541">+E485-E463</f>
        <v>0</v>
      </c>
      <c r="F507" s="536">
        <f t="shared" si="541"/>
        <v>0</v>
      </c>
      <c r="G507" s="536">
        <f t="shared" si="541"/>
        <v>0</v>
      </c>
      <c r="H507" s="536">
        <f t="shared" si="541"/>
        <v>0</v>
      </c>
      <c r="I507" s="536">
        <f t="shared" si="541"/>
        <v>0</v>
      </c>
      <c r="J507" s="536">
        <f t="shared" si="541"/>
        <v>0</v>
      </c>
      <c r="K507" s="536">
        <f t="shared" si="541"/>
        <v>0</v>
      </c>
      <c r="L507" s="536">
        <f t="shared" si="541"/>
        <v>0</v>
      </c>
      <c r="M507" s="536">
        <f t="shared" si="541"/>
        <v>0</v>
      </c>
      <c r="N507" s="536">
        <f t="shared" si="541"/>
        <v>0</v>
      </c>
      <c r="O507" s="536">
        <f t="shared" si="541"/>
        <v>0</v>
      </c>
      <c r="P507" s="536">
        <f t="shared" si="541"/>
        <v>0</v>
      </c>
      <c r="Q507" s="536">
        <f t="shared" si="541"/>
        <v>0</v>
      </c>
      <c r="R507" s="536">
        <f t="shared" si="541"/>
        <v>0</v>
      </c>
      <c r="S507" s="536">
        <f t="shared" si="541"/>
        <v>0</v>
      </c>
      <c r="T507" s="536">
        <f t="shared" si="541"/>
        <v>0</v>
      </c>
      <c r="U507" s="536">
        <f t="shared" si="541"/>
        <v>0</v>
      </c>
      <c r="V507" s="536">
        <f t="shared" si="541"/>
        <v>0</v>
      </c>
      <c r="W507" s="536">
        <f t="shared" si="541"/>
        <v>0</v>
      </c>
      <c r="X507" s="536">
        <f t="shared" si="541"/>
        <v>0</v>
      </c>
      <c r="Y507" s="536">
        <f t="shared" si="541"/>
        <v>0</v>
      </c>
      <c r="Z507" s="536">
        <f t="shared" si="541"/>
        <v>0</v>
      </c>
      <c r="AA507" s="536">
        <f t="shared" si="541"/>
        <v>0</v>
      </c>
      <c r="AB507" s="536">
        <f t="shared" si="541"/>
        <v>0</v>
      </c>
      <c r="AC507" s="536">
        <f t="shared" si="541"/>
        <v>0</v>
      </c>
      <c r="AD507" s="536">
        <f t="shared" ref="AD507" si="542">+AD485-AD463</f>
        <v>0</v>
      </c>
      <c r="AE507" s="535">
        <f t="shared" si="541"/>
        <v>0</v>
      </c>
      <c r="AF507" s="536">
        <f t="shared" si="541"/>
        <v>0</v>
      </c>
      <c r="AG507" s="536">
        <f t="shared" si="541"/>
        <v>0</v>
      </c>
      <c r="AH507" s="536">
        <f t="shared" si="541"/>
        <v>0</v>
      </c>
      <c r="AI507" s="536">
        <f t="shared" si="541"/>
        <v>0</v>
      </c>
      <c r="AJ507" s="536">
        <f t="shared" ref="AJ507" si="543">+AJ485-AJ463</f>
        <v>0</v>
      </c>
      <c r="AK507" s="536">
        <f t="shared" ref="AK507:AL507" si="544">+AK485-AK463</f>
        <v>0</v>
      </c>
      <c r="AL507" s="536">
        <f t="shared" si="544"/>
        <v>0</v>
      </c>
      <c r="AM507" s="536">
        <f t="shared" ref="AM507:AO507" si="545">+AM485-AM463</f>
        <v>0</v>
      </c>
      <c r="AN507" s="536">
        <f t="shared" si="545"/>
        <v>0</v>
      </c>
      <c r="AO507" s="536">
        <f t="shared" si="545"/>
        <v>0</v>
      </c>
      <c r="AP507" s="536">
        <f t="shared" si="541"/>
        <v>0</v>
      </c>
      <c r="AQ507" s="536">
        <f t="shared" si="541"/>
        <v>0</v>
      </c>
      <c r="AR507" s="536">
        <f t="shared" si="541"/>
        <v>0</v>
      </c>
      <c r="AS507" s="536">
        <f t="shared" si="448"/>
        <v>0</v>
      </c>
      <c r="AT507" s="536">
        <f t="shared" ref="AT507:AZ507" si="546">+AT485-AT463</f>
        <v>0</v>
      </c>
      <c r="AU507" s="536">
        <f t="shared" si="546"/>
        <v>0</v>
      </c>
      <c r="AV507" s="536">
        <f t="shared" si="546"/>
        <v>0</v>
      </c>
      <c r="AW507" s="536">
        <f t="shared" si="546"/>
        <v>0</v>
      </c>
      <c r="AX507" s="536">
        <f t="shared" si="546"/>
        <v>0</v>
      </c>
      <c r="AY507" s="536">
        <f t="shared" si="546"/>
        <v>0</v>
      </c>
      <c r="AZ507" s="536">
        <f t="shared" si="546"/>
        <v>0</v>
      </c>
      <c r="BB507" s="536">
        <f t="shared" si="541"/>
        <v>0</v>
      </c>
      <c r="BC507" s="537">
        <f t="shared" si="541"/>
        <v>0</v>
      </c>
      <c r="BD507" s="444"/>
      <c r="BE507" s="536"/>
      <c r="BF507" s="336"/>
    </row>
    <row r="508" spans="1:58" hidden="1" outlineLevel="1" x14ac:dyDescent="0.35">
      <c r="A508" s="411" t="s">
        <v>955</v>
      </c>
      <c r="B508" s="538" t="s">
        <v>187</v>
      </c>
      <c r="C508" s="539" t="s">
        <v>943</v>
      </c>
      <c r="D508" s="535">
        <f t="shared" si="450"/>
        <v>0</v>
      </c>
      <c r="E508" s="536">
        <f t="shared" ref="E508:BC508" si="547">+E486-E464</f>
        <v>0</v>
      </c>
      <c r="F508" s="536">
        <f t="shared" si="547"/>
        <v>0</v>
      </c>
      <c r="G508" s="536">
        <f t="shared" si="547"/>
        <v>0</v>
      </c>
      <c r="H508" s="536">
        <f t="shared" si="547"/>
        <v>0</v>
      </c>
      <c r="I508" s="536">
        <f t="shared" si="547"/>
        <v>0</v>
      </c>
      <c r="J508" s="536">
        <f t="shared" si="547"/>
        <v>0</v>
      </c>
      <c r="K508" s="536">
        <f t="shared" si="547"/>
        <v>0</v>
      </c>
      <c r="L508" s="536">
        <f t="shared" si="547"/>
        <v>0</v>
      </c>
      <c r="M508" s="536">
        <f t="shared" si="547"/>
        <v>0</v>
      </c>
      <c r="N508" s="536">
        <f t="shared" si="547"/>
        <v>0</v>
      </c>
      <c r="O508" s="536">
        <f t="shared" si="547"/>
        <v>0</v>
      </c>
      <c r="P508" s="536">
        <f t="shared" si="547"/>
        <v>0</v>
      </c>
      <c r="Q508" s="536">
        <f t="shared" si="547"/>
        <v>0</v>
      </c>
      <c r="R508" s="536">
        <f t="shared" si="547"/>
        <v>0</v>
      </c>
      <c r="S508" s="536">
        <f t="shared" si="547"/>
        <v>0</v>
      </c>
      <c r="T508" s="536">
        <f t="shared" si="547"/>
        <v>0</v>
      </c>
      <c r="U508" s="536">
        <f t="shared" si="547"/>
        <v>0</v>
      </c>
      <c r="V508" s="536">
        <f t="shared" si="547"/>
        <v>0</v>
      </c>
      <c r="W508" s="536">
        <f t="shared" si="547"/>
        <v>0</v>
      </c>
      <c r="X508" s="536">
        <f t="shared" si="547"/>
        <v>0</v>
      </c>
      <c r="Y508" s="536">
        <f t="shared" si="547"/>
        <v>0</v>
      </c>
      <c r="Z508" s="536">
        <f t="shared" si="547"/>
        <v>0</v>
      </c>
      <c r="AA508" s="536">
        <f t="shared" si="547"/>
        <v>0</v>
      </c>
      <c r="AB508" s="536">
        <f t="shared" si="547"/>
        <v>0</v>
      </c>
      <c r="AC508" s="536">
        <f t="shared" si="547"/>
        <v>0</v>
      </c>
      <c r="AD508" s="536">
        <f t="shared" ref="AD508" si="548">+AD486-AD464</f>
        <v>0</v>
      </c>
      <c r="AE508" s="535">
        <f t="shared" si="547"/>
        <v>0</v>
      </c>
      <c r="AF508" s="536">
        <f t="shared" si="547"/>
        <v>0</v>
      </c>
      <c r="AG508" s="536">
        <f t="shared" si="547"/>
        <v>0</v>
      </c>
      <c r="AH508" s="536">
        <f t="shared" si="547"/>
        <v>0</v>
      </c>
      <c r="AI508" s="536">
        <f t="shared" si="547"/>
        <v>0</v>
      </c>
      <c r="AJ508" s="536">
        <f t="shared" ref="AJ508" si="549">+AJ486-AJ464</f>
        <v>0</v>
      </c>
      <c r="AK508" s="536">
        <f t="shared" ref="AK508:AL508" si="550">+AK486-AK464</f>
        <v>0</v>
      </c>
      <c r="AL508" s="536">
        <f t="shared" si="550"/>
        <v>0</v>
      </c>
      <c r="AM508" s="536">
        <f t="shared" ref="AM508:AO508" si="551">+AM486-AM464</f>
        <v>0</v>
      </c>
      <c r="AN508" s="536">
        <f t="shared" si="551"/>
        <v>0</v>
      </c>
      <c r="AO508" s="536">
        <f t="shared" si="551"/>
        <v>0</v>
      </c>
      <c r="AP508" s="536">
        <f t="shared" si="547"/>
        <v>0</v>
      </c>
      <c r="AQ508" s="536">
        <f t="shared" si="547"/>
        <v>0</v>
      </c>
      <c r="AR508" s="536">
        <f t="shared" si="547"/>
        <v>0</v>
      </c>
      <c r="AS508" s="536" t="e">
        <f t="shared" si="448"/>
        <v>#VALUE!</v>
      </c>
      <c r="AT508" s="536">
        <f t="shared" ref="AT508:AZ508" si="552">+AT486-AT464</f>
        <v>0</v>
      </c>
      <c r="AU508" s="536">
        <f t="shared" si="552"/>
        <v>0</v>
      </c>
      <c r="AV508" s="536">
        <f t="shared" si="552"/>
        <v>0</v>
      </c>
      <c r="AW508" s="536">
        <f t="shared" si="552"/>
        <v>0</v>
      </c>
      <c r="AX508" s="536">
        <f t="shared" si="552"/>
        <v>0</v>
      </c>
      <c r="AY508" s="536">
        <f t="shared" si="552"/>
        <v>0</v>
      </c>
      <c r="AZ508" s="536">
        <f t="shared" si="552"/>
        <v>0</v>
      </c>
      <c r="BB508" s="536" t="e">
        <f t="shared" si="547"/>
        <v>#VALUE!</v>
      </c>
      <c r="BC508" s="537">
        <f t="shared" si="547"/>
        <v>0</v>
      </c>
      <c r="BD508" s="444"/>
      <c r="BE508" s="536"/>
      <c r="BF508" s="336"/>
    </row>
    <row r="509" spans="1:58" hidden="1" outlineLevel="1" x14ac:dyDescent="0.35">
      <c r="A509" s="411" t="s">
        <v>955</v>
      </c>
      <c r="B509" s="528" t="s">
        <v>940</v>
      </c>
      <c r="C509" s="529" t="s">
        <v>944</v>
      </c>
      <c r="D509" s="530">
        <f t="shared" si="450"/>
        <v>0</v>
      </c>
      <c r="E509" s="531">
        <f t="shared" ref="E509:BC509" si="553">+E487-E465</f>
        <v>0</v>
      </c>
      <c r="F509" s="531">
        <f t="shared" si="553"/>
        <v>0</v>
      </c>
      <c r="G509" s="531">
        <f t="shared" si="553"/>
        <v>0</v>
      </c>
      <c r="H509" s="531">
        <f t="shared" si="553"/>
        <v>0</v>
      </c>
      <c r="I509" s="531">
        <f t="shared" si="553"/>
        <v>0</v>
      </c>
      <c r="J509" s="531">
        <f t="shared" si="553"/>
        <v>0</v>
      </c>
      <c r="K509" s="531">
        <f t="shared" si="553"/>
        <v>0</v>
      </c>
      <c r="L509" s="531">
        <f t="shared" si="553"/>
        <v>0</v>
      </c>
      <c r="M509" s="531">
        <f t="shared" si="553"/>
        <v>0</v>
      </c>
      <c r="N509" s="531">
        <f t="shared" si="553"/>
        <v>0</v>
      </c>
      <c r="O509" s="531">
        <f t="shared" si="553"/>
        <v>0</v>
      </c>
      <c r="P509" s="531">
        <f t="shared" si="553"/>
        <v>0</v>
      </c>
      <c r="Q509" s="531">
        <f t="shared" si="553"/>
        <v>0</v>
      </c>
      <c r="R509" s="531">
        <f t="shared" si="553"/>
        <v>0</v>
      </c>
      <c r="S509" s="531">
        <f t="shared" si="553"/>
        <v>0</v>
      </c>
      <c r="T509" s="531">
        <f t="shared" si="553"/>
        <v>0</v>
      </c>
      <c r="U509" s="531">
        <f t="shared" si="553"/>
        <v>0</v>
      </c>
      <c r="V509" s="531">
        <f t="shared" si="553"/>
        <v>0</v>
      </c>
      <c r="W509" s="531">
        <f t="shared" si="553"/>
        <v>0</v>
      </c>
      <c r="X509" s="531">
        <f t="shared" si="553"/>
        <v>0</v>
      </c>
      <c r="Y509" s="531">
        <f t="shared" si="553"/>
        <v>0</v>
      </c>
      <c r="Z509" s="531">
        <f t="shared" si="553"/>
        <v>0</v>
      </c>
      <c r="AA509" s="531">
        <f t="shared" si="553"/>
        <v>0</v>
      </c>
      <c r="AB509" s="531">
        <f t="shared" si="553"/>
        <v>0</v>
      </c>
      <c r="AC509" s="531">
        <f t="shared" si="553"/>
        <v>0</v>
      </c>
      <c r="AD509" s="531">
        <f t="shared" ref="AD509" si="554">+AD487-AD465</f>
        <v>0</v>
      </c>
      <c r="AE509" s="530">
        <f t="shared" si="553"/>
        <v>0</v>
      </c>
      <c r="AF509" s="531">
        <f t="shared" si="553"/>
        <v>0</v>
      </c>
      <c r="AG509" s="531">
        <f t="shared" si="553"/>
        <v>0</v>
      </c>
      <c r="AH509" s="531">
        <f t="shared" si="553"/>
        <v>0</v>
      </c>
      <c r="AI509" s="531">
        <f t="shared" si="553"/>
        <v>0</v>
      </c>
      <c r="AJ509" s="531">
        <f t="shared" ref="AJ509" si="555">+AJ487-AJ465</f>
        <v>0</v>
      </c>
      <c r="AK509" s="531">
        <f t="shared" ref="AK509:AL509" si="556">+AK487-AK465</f>
        <v>0</v>
      </c>
      <c r="AL509" s="531">
        <f t="shared" si="556"/>
        <v>0</v>
      </c>
      <c r="AM509" s="531">
        <f t="shared" ref="AM509:AO509" si="557">+AM487-AM465</f>
        <v>0</v>
      </c>
      <c r="AN509" s="531">
        <f t="shared" si="557"/>
        <v>0</v>
      </c>
      <c r="AO509" s="531">
        <f t="shared" si="557"/>
        <v>0</v>
      </c>
      <c r="AP509" s="531">
        <f t="shared" si="553"/>
        <v>0</v>
      </c>
      <c r="AQ509" s="531">
        <f t="shared" si="553"/>
        <v>0</v>
      </c>
      <c r="AR509" s="531">
        <f t="shared" si="553"/>
        <v>0</v>
      </c>
      <c r="AS509" s="531">
        <f t="shared" si="448"/>
        <v>0</v>
      </c>
      <c r="AT509" s="531">
        <f t="shared" ref="AT509:AZ509" si="558">+AT487-AT465</f>
        <v>0</v>
      </c>
      <c r="AU509" s="531">
        <f t="shared" si="558"/>
        <v>0</v>
      </c>
      <c r="AV509" s="531">
        <f t="shared" si="558"/>
        <v>0</v>
      </c>
      <c r="AW509" s="531">
        <f t="shared" si="558"/>
        <v>0</v>
      </c>
      <c r="AX509" s="531">
        <f t="shared" si="558"/>
        <v>0</v>
      </c>
      <c r="AY509" s="531">
        <f t="shared" si="558"/>
        <v>0</v>
      </c>
      <c r="AZ509" s="531">
        <f t="shared" si="558"/>
        <v>0</v>
      </c>
      <c r="BB509" s="531">
        <f t="shared" si="553"/>
        <v>0</v>
      </c>
      <c r="BC509" s="532">
        <f t="shared" si="553"/>
        <v>0</v>
      </c>
      <c r="BD509" s="444"/>
      <c r="BE509" s="536"/>
      <c r="BF509" s="336"/>
    </row>
    <row r="510" spans="1:58" hidden="1" outlineLevel="1" x14ac:dyDescent="0.35">
      <c r="A510" s="411" t="s">
        <v>955</v>
      </c>
      <c r="B510" s="533" t="s">
        <v>132</v>
      </c>
      <c r="C510" s="534" t="s">
        <v>944</v>
      </c>
      <c r="D510" s="535">
        <f t="shared" si="450"/>
        <v>0</v>
      </c>
      <c r="E510" s="536">
        <f t="shared" ref="E510:BC510" si="559">+E488-E466</f>
        <v>0</v>
      </c>
      <c r="F510" s="536">
        <f t="shared" si="559"/>
        <v>0</v>
      </c>
      <c r="G510" s="536">
        <f t="shared" si="559"/>
        <v>0</v>
      </c>
      <c r="H510" s="536">
        <f t="shared" si="559"/>
        <v>0</v>
      </c>
      <c r="I510" s="536">
        <f t="shared" si="559"/>
        <v>0</v>
      </c>
      <c r="J510" s="536">
        <f t="shared" si="559"/>
        <v>0</v>
      </c>
      <c r="K510" s="536">
        <f t="shared" si="559"/>
        <v>0</v>
      </c>
      <c r="L510" s="536">
        <f t="shared" si="559"/>
        <v>0</v>
      </c>
      <c r="M510" s="536">
        <f t="shared" si="559"/>
        <v>0</v>
      </c>
      <c r="N510" s="536">
        <f t="shared" si="559"/>
        <v>0</v>
      </c>
      <c r="O510" s="536">
        <f t="shared" si="559"/>
        <v>0</v>
      </c>
      <c r="P510" s="536">
        <f t="shared" si="559"/>
        <v>0</v>
      </c>
      <c r="Q510" s="536">
        <f t="shared" si="559"/>
        <v>0</v>
      </c>
      <c r="R510" s="536">
        <f t="shared" si="559"/>
        <v>0</v>
      </c>
      <c r="S510" s="536">
        <f t="shared" si="559"/>
        <v>0</v>
      </c>
      <c r="T510" s="536">
        <f t="shared" si="559"/>
        <v>0</v>
      </c>
      <c r="U510" s="536">
        <f t="shared" si="559"/>
        <v>0</v>
      </c>
      <c r="V510" s="536">
        <f t="shared" si="559"/>
        <v>0</v>
      </c>
      <c r="W510" s="536">
        <f t="shared" si="559"/>
        <v>0</v>
      </c>
      <c r="X510" s="536">
        <f t="shared" si="559"/>
        <v>0</v>
      </c>
      <c r="Y510" s="536">
        <f t="shared" si="559"/>
        <v>0</v>
      </c>
      <c r="Z510" s="536">
        <f t="shared" si="559"/>
        <v>0</v>
      </c>
      <c r="AA510" s="536">
        <f t="shared" si="559"/>
        <v>0</v>
      </c>
      <c r="AB510" s="536">
        <f t="shared" si="559"/>
        <v>0</v>
      </c>
      <c r="AC510" s="536">
        <f t="shared" si="559"/>
        <v>0</v>
      </c>
      <c r="AD510" s="536">
        <f t="shared" ref="AD510" si="560">+AD488-AD466</f>
        <v>0</v>
      </c>
      <c r="AE510" s="535">
        <f t="shared" si="559"/>
        <v>0</v>
      </c>
      <c r="AF510" s="536">
        <f t="shared" si="559"/>
        <v>0</v>
      </c>
      <c r="AG510" s="536">
        <f t="shared" si="559"/>
        <v>0</v>
      </c>
      <c r="AH510" s="536">
        <f t="shared" si="559"/>
        <v>0</v>
      </c>
      <c r="AI510" s="536">
        <f t="shared" si="559"/>
        <v>0</v>
      </c>
      <c r="AJ510" s="536">
        <f t="shared" ref="AJ510" si="561">+AJ488-AJ466</f>
        <v>0</v>
      </c>
      <c r="AK510" s="536">
        <f t="shared" ref="AK510:AL510" si="562">+AK488-AK466</f>
        <v>0</v>
      </c>
      <c r="AL510" s="536">
        <f t="shared" si="562"/>
        <v>0</v>
      </c>
      <c r="AM510" s="536">
        <f t="shared" ref="AM510:AO510" si="563">+AM488-AM466</f>
        <v>0</v>
      </c>
      <c r="AN510" s="536">
        <f t="shared" si="563"/>
        <v>0</v>
      </c>
      <c r="AO510" s="536">
        <f t="shared" si="563"/>
        <v>0</v>
      </c>
      <c r="AP510" s="536">
        <f t="shared" si="559"/>
        <v>0</v>
      </c>
      <c r="AQ510" s="536">
        <f t="shared" si="559"/>
        <v>0</v>
      </c>
      <c r="AR510" s="536">
        <f t="shared" si="559"/>
        <v>0</v>
      </c>
      <c r="AS510" s="536">
        <f t="shared" si="448"/>
        <v>0</v>
      </c>
      <c r="AT510" s="536">
        <f t="shared" ref="AT510:AZ510" si="564">+AT488-AT466</f>
        <v>0</v>
      </c>
      <c r="AU510" s="536">
        <f t="shared" si="564"/>
        <v>0</v>
      </c>
      <c r="AV510" s="536">
        <f t="shared" si="564"/>
        <v>0</v>
      </c>
      <c r="AW510" s="536">
        <f t="shared" si="564"/>
        <v>0</v>
      </c>
      <c r="AX510" s="536">
        <f t="shared" si="564"/>
        <v>0</v>
      </c>
      <c r="AY510" s="536">
        <f t="shared" si="564"/>
        <v>0</v>
      </c>
      <c r="AZ510" s="536">
        <f t="shared" si="564"/>
        <v>0</v>
      </c>
      <c r="BB510" s="536">
        <f t="shared" si="559"/>
        <v>0</v>
      </c>
      <c r="BC510" s="537">
        <f t="shared" si="559"/>
        <v>0</v>
      </c>
      <c r="BD510" s="444"/>
      <c r="BE510" s="536"/>
      <c r="BF510" s="336"/>
    </row>
    <row r="511" spans="1:58" hidden="1" outlineLevel="1" x14ac:dyDescent="0.35">
      <c r="A511" s="411" t="s">
        <v>955</v>
      </c>
      <c r="B511" s="538" t="s">
        <v>187</v>
      </c>
      <c r="C511" s="539" t="s">
        <v>944</v>
      </c>
      <c r="D511" s="535">
        <f t="shared" si="450"/>
        <v>0</v>
      </c>
      <c r="E511" s="536">
        <f t="shared" ref="E511:BC511" si="565">+E489-E467</f>
        <v>0</v>
      </c>
      <c r="F511" s="536">
        <f t="shared" si="565"/>
        <v>0</v>
      </c>
      <c r="G511" s="536">
        <f t="shared" si="565"/>
        <v>0</v>
      </c>
      <c r="H511" s="536">
        <f t="shared" si="565"/>
        <v>0</v>
      </c>
      <c r="I511" s="536">
        <f t="shared" si="565"/>
        <v>0</v>
      </c>
      <c r="J511" s="536">
        <f t="shared" si="565"/>
        <v>0</v>
      </c>
      <c r="K511" s="536">
        <f t="shared" si="565"/>
        <v>0</v>
      </c>
      <c r="L511" s="536">
        <f t="shared" si="565"/>
        <v>0</v>
      </c>
      <c r="M511" s="536">
        <f t="shared" si="565"/>
        <v>0</v>
      </c>
      <c r="N511" s="536">
        <f t="shared" si="565"/>
        <v>0</v>
      </c>
      <c r="O511" s="536">
        <f t="shared" si="565"/>
        <v>0</v>
      </c>
      <c r="P511" s="536">
        <f t="shared" si="565"/>
        <v>0</v>
      </c>
      <c r="Q511" s="536">
        <f t="shared" si="565"/>
        <v>0</v>
      </c>
      <c r="R511" s="536">
        <f t="shared" si="565"/>
        <v>0</v>
      </c>
      <c r="S511" s="536">
        <f t="shared" si="565"/>
        <v>0</v>
      </c>
      <c r="T511" s="536">
        <f t="shared" si="565"/>
        <v>0</v>
      </c>
      <c r="U511" s="536">
        <f t="shared" si="565"/>
        <v>0</v>
      </c>
      <c r="V511" s="536">
        <f t="shared" si="565"/>
        <v>0</v>
      </c>
      <c r="W511" s="536">
        <f t="shared" si="565"/>
        <v>0</v>
      </c>
      <c r="X511" s="536">
        <f t="shared" si="565"/>
        <v>0</v>
      </c>
      <c r="Y511" s="536">
        <f t="shared" si="565"/>
        <v>0</v>
      </c>
      <c r="Z511" s="536">
        <f t="shared" si="565"/>
        <v>0</v>
      </c>
      <c r="AA511" s="536">
        <f t="shared" si="565"/>
        <v>0</v>
      </c>
      <c r="AB511" s="536">
        <f t="shared" si="565"/>
        <v>0</v>
      </c>
      <c r="AC511" s="536">
        <f t="shared" si="565"/>
        <v>0</v>
      </c>
      <c r="AD511" s="536">
        <f t="shared" ref="AD511" si="566">+AD489-AD467</f>
        <v>0</v>
      </c>
      <c r="AE511" s="535">
        <f t="shared" si="565"/>
        <v>0</v>
      </c>
      <c r="AF511" s="536">
        <f t="shared" si="565"/>
        <v>0</v>
      </c>
      <c r="AG511" s="536">
        <f t="shared" si="565"/>
        <v>0</v>
      </c>
      <c r="AH511" s="536">
        <f t="shared" si="565"/>
        <v>0</v>
      </c>
      <c r="AI511" s="536">
        <f t="shared" si="565"/>
        <v>0</v>
      </c>
      <c r="AJ511" s="536">
        <f t="shared" ref="AJ511" si="567">+AJ489-AJ467</f>
        <v>0</v>
      </c>
      <c r="AK511" s="536">
        <f t="shared" ref="AK511:AL511" si="568">+AK489-AK467</f>
        <v>0</v>
      </c>
      <c r="AL511" s="536">
        <f t="shared" si="568"/>
        <v>0</v>
      </c>
      <c r="AM511" s="536">
        <f t="shared" ref="AM511:AO511" si="569">+AM489-AM467</f>
        <v>0</v>
      </c>
      <c r="AN511" s="536">
        <f t="shared" si="569"/>
        <v>0</v>
      </c>
      <c r="AO511" s="536">
        <f t="shared" si="569"/>
        <v>0</v>
      </c>
      <c r="AP511" s="536">
        <f t="shared" si="565"/>
        <v>0</v>
      </c>
      <c r="AQ511" s="536">
        <f t="shared" si="565"/>
        <v>0</v>
      </c>
      <c r="AR511" s="536">
        <f t="shared" si="565"/>
        <v>0</v>
      </c>
      <c r="AS511" s="536" t="e">
        <f t="shared" si="448"/>
        <v>#VALUE!</v>
      </c>
      <c r="AT511" s="536">
        <f t="shared" ref="AT511:AZ511" si="570">+AT489-AT467</f>
        <v>0</v>
      </c>
      <c r="AU511" s="536">
        <f t="shared" si="570"/>
        <v>0</v>
      </c>
      <c r="AV511" s="536">
        <f t="shared" si="570"/>
        <v>0</v>
      </c>
      <c r="AW511" s="536">
        <f t="shared" si="570"/>
        <v>0</v>
      </c>
      <c r="AX511" s="536">
        <f t="shared" si="570"/>
        <v>0</v>
      </c>
      <c r="AY511" s="536">
        <f t="shared" si="570"/>
        <v>0</v>
      </c>
      <c r="AZ511" s="536">
        <f t="shared" si="570"/>
        <v>0</v>
      </c>
      <c r="BB511" s="536" t="e">
        <f t="shared" si="565"/>
        <v>#VALUE!</v>
      </c>
      <c r="BC511" s="537">
        <f t="shared" si="565"/>
        <v>0</v>
      </c>
      <c r="BD511" s="444"/>
      <c r="BE511" s="536"/>
      <c r="BF511" s="336"/>
    </row>
    <row r="512" spans="1:58" collapsed="1" x14ac:dyDescent="0.35">
      <c r="D512" s="483"/>
      <c r="E512" s="483"/>
      <c r="F512" s="483"/>
      <c r="G512" s="483"/>
      <c r="H512" s="483"/>
      <c r="I512" s="483"/>
      <c r="J512" s="483"/>
      <c r="K512" s="483"/>
      <c r="L512" s="483"/>
      <c r="M512" s="483"/>
      <c r="N512" s="483"/>
      <c r="O512" s="483"/>
      <c r="P512" s="483"/>
      <c r="Q512" s="483"/>
      <c r="R512" s="483"/>
      <c r="S512" s="483"/>
      <c r="T512" s="483"/>
      <c r="U512" s="483"/>
      <c r="V512" s="483"/>
      <c r="W512" s="483"/>
      <c r="X512" s="483"/>
      <c r="Y512" s="483"/>
      <c r="Z512" s="483"/>
      <c r="AA512" s="483"/>
      <c r="AB512" s="483"/>
      <c r="AC512" s="483"/>
      <c r="AD512" s="483"/>
      <c r="AE512" s="483"/>
      <c r="AF512" s="483"/>
      <c r="AG512" s="483"/>
      <c r="AH512" s="483"/>
      <c r="AI512" s="483"/>
      <c r="AJ512" s="483"/>
      <c r="AK512" s="483"/>
      <c r="AL512" s="483"/>
      <c r="AM512" s="483"/>
      <c r="AN512" s="483"/>
      <c r="AO512" s="483"/>
      <c r="AP512" s="483"/>
      <c r="AQ512" s="483"/>
      <c r="AR512" s="483"/>
      <c r="AS512" s="483"/>
      <c r="AT512" s="483"/>
      <c r="AU512" s="483"/>
      <c r="AV512" s="483"/>
      <c r="AW512" s="483"/>
      <c r="AX512" s="483"/>
      <c r="AY512" s="483"/>
      <c r="AZ512" s="483"/>
      <c r="BB512" s="483"/>
      <c r="BC512" s="483"/>
      <c r="BD512" s="444"/>
    </row>
    <row r="513" spans="15:56" x14ac:dyDescent="0.35">
      <c r="AS513" s="329"/>
      <c r="BD513" s="444"/>
    </row>
    <row r="514" spans="15:56" x14ac:dyDescent="0.35">
      <c r="AS514" s="329"/>
      <c r="BD514" s="444"/>
    </row>
    <row r="515" spans="15:56" x14ac:dyDescent="0.35">
      <c r="AS515" s="329"/>
      <c r="BD515" s="444"/>
    </row>
    <row r="516" spans="15:56" x14ac:dyDescent="0.35">
      <c r="O516" s="481"/>
      <c r="AS516" s="329"/>
      <c r="BD516" s="444"/>
    </row>
    <row r="517" spans="15:56" x14ac:dyDescent="0.35">
      <c r="AS517" s="329"/>
      <c r="BD517" s="444"/>
    </row>
    <row r="518" spans="15:56" x14ac:dyDescent="0.35">
      <c r="AS518" s="329"/>
      <c r="BD518" s="444"/>
    </row>
    <row r="519" spans="15:56" x14ac:dyDescent="0.35">
      <c r="AS519" s="329"/>
      <c r="BD519" s="444"/>
    </row>
    <row r="520" spans="15:56" x14ac:dyDescent="0.35">
      <c r="AS520" s="329"/>
      <c r="BD520" s="444"/>
    </row>
    <row r="521" spans="15:56" x14ac:dyDescent="0.35">
      <c r="AS521" s="329"/>
      <c r="BD521" s="444"/>
    </row>
    <row r="522" spans="15:56" x14ac:dyDescent="0.35">
      <c r="AS522" s="329"/>
      <c r="BD522" s="444"/>
    </row>
    <row r="523" spans="15:56" x14ac:dyDescent="0.35">
      <c r="AS523" s="329"/>
      <c r="BD523" s="444"/>
    </row>
    <row r="524" spans="15:56" x14ac:dyDescent="0.35">
      <c r="AS524" s="329"/>
      <c r="BD524" s="444"/>
    </row>
    <row r="525" spans="15:56" x14ac:dyDescent="0.35">
      <c r="AS525" s="329"/>
      <c r="BD525" s="444"/>
    </row>
    <row r="526" spans="15:56" x14ac:dyDescent="0.35">
      <c r="AS526" s="329"/>
      <c r="BD526" s="444"/>
    </row>
    <row r="527" spans="15:56" x14ac:dyDescent="0.35">
      <c r="AS527" s="329"/>
      <c r="BD527" s="444"/>
    </row>
    <row r="528" spans="15:56" x14ac:dyDescent="0.35">
      <c r="AS528" s="329"/>
      <c r="BD528" s="444"/>
    </row>
    <row r="529" spans="45:56" x14ac:dyDescent="0.35">
      <c r="AS529" s="329"/>
      <c r="BD529" s="444"/>
    </row>
    <row r="530" spans="45:56" x14ac:dyDescent="0.35">
      <c r="AS530" s="329"/>
      <c r="BD530" s="444"/>
    </row>
    <row r="531" spans="45:56" x14ac:dyDescent="0.35">
      <c r="AS531" s="329"/>
      <c r="BD531" s="444"/>
    </row>
    <row r="532" spans="45:56" x14ac:dyDescent="0.35">
      <c r="AS532" s="329"/>
      <c r="BD532" s="444"/>
    </row>
    <row r="533" spans="45:56" x14ac:dyDescent="0.35">
      <c r="AS533" s="329"/>
      <c r="BD533" s="444"/>
    </row>
    <row r="534" spans="45:56" x14ac:dyDescent="0.35">
      <c r="AS534" s="329"/>
    </row>
    <row r="535" spans="45:56" x14ac:dyDescent="0.35">
      <c r="AS535" s="329"/>
    </row>
    <row r="536" spans="45:56" x14ac:dyDescent="0.35">
      <c r="AS536" s="329"/>
    </row>
    <row r="537" spans="45:56" x14ac:dyDescent="0.35">
      <c r="AS537" s="329"/>
    </row>
    <row r="538" spans="45:56" x14ac:dyDescent="0.35">
      <c r="AS538" s="329"/>
    </row>
    <row r="539" spans="45:56" x14ac:dyDescent="0.35">
      <c r="AS539" s="329"/>
    </row>
    <row r="540" spans="45:56" x14ac:dyDescent="0.35">
      <c r="AS540" s="329"/>
    </row>
    <row r="541" spans="45:56" x14ac:dyDescent="0.35">
      <c r="AS541" s="329"/>
    </row>
    <row r="542" spans="45:56" x14ac:dyDescent="0.35">
      <c r="AS542" s="329"/>
    </row>
    <row r="543" spans="45:56" x14ac:dyDescent="0.35">
      <c r="AS543" s="329"/>
    </row>
    <row r="544" spans="45:56" x14ac:dyDescent="0.35">
      <c r="AS544" s="329"/>
    </row>
    <row r="545" spans="45:45" x14ac:dyDescent="0.35">
      <c r="AS545" s="329"/>
    </row>
    <row r="546" spans="45:45" ht="12" customHeight="1" x14ac:dyDescent="0.35">
      <c r="AS546" s="329"/>
    </row>
  </sheetData>
  <autoFilter ref="A10:BD512" xr:uid="{00000000-0009-0000-0000-000002000000}"/>
  <conditionalFormatting sqref="D14 E375:AZ375 E436:AZ436">
    <cfRule type="cellIs" dxfId="112" priority="302" operator="notEqual">
      <formula>0</formula>
    </cfRule>
  </conditionalFormatting>
  <conditionalFormatting sqref="D70 AV70:AZ70 BB70:BC70 BB375:BC375 BB436:BC436 D491:AZ511 BB491:BC511">
    <cfRule type="cellIs" dxfId="111" priority="444" operator="notEqual">
      <formula>0</formula>
    </cfRule>
  </conditionalFormatting>
  <conditionalFormatting sqref="D71:D72">
    <cfRule type="colorScale" priority="108">
      <colorScale>
        <cfvo type="min"/>
        <cfvo type="percentile" val="50"/>
        <cfvo type="max"/>
        <color rgb="FFF8696B"/>
        <color rgb="FFFFEB84"/>
        <color rgb="FF63BE7B"/>
      </colorScale>
    </cfRule>
  </conditionalFormatting>
  <conditionalFormatting sqref="D71:D73">
    <cfRule type="cellIs" dxfId="110" priority="109" operator="notEqual">
      <formula>0</formula>
    </cfRule>
  </conditionalFormatting>
  <conditionalFormatting sqref="D75">
    <cfRule type="cellIs" dxfId="109" priority="709" operator="notEqual">
      <formula>0</formula>
    </cfRule>
  </conditionalFormatting>
  <conditionalFormatting sqref="D131 AV131:AZ131 BB131:BC131">
    <cfRule type="cellIs" dxfId="108" priority="100" operator="notEqual">
      <formula>0</formula>
    </cfRule>
  </conditionalFormatting>
  <conditionalFormatting sqref="D132:D133">
    <cfRule type="colorScale" priority="94">
      <colorScale>
        <cfvo type="min"/>
        <cfvo type="percentile" val="50"/>
        <cfvo type="max"/>
        <color rgb="FFF8696B"/>
        <color rgb="FFFFEB84"/>
        <color rgb="FF63BE7B"/>
      </colorScale>
    </cfRule>
  </conditionalFormatting>
  <conditionalFormatting sqref="D132:D134">
    <cfRule type="cellIs" dxfId="107" priority="95" operator="notEqual">
      <formula>0</formula>
    </cfRule>
  </conditionalFormatting>
  <conditionalFormatting sqref="D136">
    <cfRule type="cellIs" dxfId="106" priority="287" operator="notEqual">
      <formula>0</formula>
    </cfRule>
  </conditionalFormatting>
  <conditionalFormatting sqref="D192 AV192:AZ192 BB192:BC192">
    <cfRule type="cellIs" dxfId="105" priority="88" operator="notEqual">
      <formula>0</formula>
    </cfRule>
  </conditionalFormatting>
  <conditionalFormatting sqref="D193:D194">
    <cfRule type="colorScale" priority="82">
      <colorScale>
        <cfvo type="min"/>
        <cfvo type="percentile" val="50"/>
        <cfvo type="max"/>
        <color rgb="FFF8696B"/>
        <color rgb="FFFFEB84"/>
        <color rgb="FF63BE7B"/>
      </colorScale>
    </cfRule>
  </conditionalFormatting>
  <conditionalFormatting sqref="D193:D195">
    <cfRule type="cellIs" dxfId="104" priority="83" operator="notEqual">
      <formula>0</formula>
    </cfRule>
  </conditionalFormatting>
  <conditionalFormatting sqref="D197:D198">
    <cfRule type="cellIs" dxfId="103" priority="294" operator="notEqual">
      <formula>0</formula>
    </cfRule>
  </conditionalFormatting>
  <conditionalFormatting sqref="D253 AV253:AZ253 BB253:BC253">
    <cfRule type="cellIs" dxfId="102" priority="76" operator="notEqual">
      <formula>0</formula>
    </cfRule>
  </conditionalFormatting>
  <conditionalFormatting sqref="D254:D255">
    <cfRule type="colorScale" priority="70">
      <colorScale>
        <cfvo type="min"/>
        <cfvo type="percentile" val="50"/>
        <cfvo type="max"/>
        <color rgb="FFF8696B"/>
        <color rgb="FFFFEB84"/>
        <color rgb="FF63BE7B"/>
      </colorScale>
    </cfRule>
  </conditionalFormatting>
  <conditionalFormatting sqref="D254:D256">
    <cfRule type="cellIs" dxfId="101" priority="71" operator="notEqual">
      <formula>0</formula>
    </cfRule>
  </conditionalFormatting>
  <conditionalFormatting sqref="D258:D259">
    <cfRule type="cellIs" dxfId="100" priority="280" operator="notEqual">
      <formula>0</formula>
    </cfRule>
  </conditionalFormatting>
  <conditionalFormatting sqref="D314 AV314:AZ314 BB314:BC314">
    <cfRule type="cellIs" dxfId="99" priority="64" operator="notEqual">
      <formula>0</formula>
    </cfRule>
  </conditionalFormatting>
  <conditionalFormatting sqref="D315:D316">
    <cfRule type="colorScale" priority="58">
      <colorScale>
        <cfvo type="min"/>
        <cfvo type="percentile" val="50"/>
        <cfvo type="max"/>
        <color rgb="FFF8696B"/>
        <color rgb="FFFFEB84"/>
        <color rgb="FF63BE7B"/>
      </colorScale>
    </cfRule>
  </conditionalFormatting>
  <conditionalFormatting sqref="D315:D317">
    <cfRule type="cellIs" dxfId="98" priority="59" operator="notEqual">
      <formula>0</formula>
    </cfRule>
  </conditionalFormatting>
  <conditionalFormatting sqref="D319:D320">
    <cfRule type="cellIs" dxfId="97" priority="258" operator="notEqual">
      <formula>0</formula>
    </cfRule>
  </conditionalFormatting>
  <conditionalFormatting sqref="D375">
    <cfRule type="cellIs" dxfId="96" priority="196" operator="notEqual">
      <formula>0</formula>
    </cfRule>
  </conditionalFormatting>
  <conditionalFormatting sqref="D375:D378">
    <cfRule type="cellIs" dxfId="95" priority="155" operator="notEqual">
      <formula>0</formula>
    </cfRule>
  </conditionalFormatting>
  <conditionalFormatting sqref="D380:D381">
    <cfRule type="cellIs" dxfId="94" priority="229" operator="notEqual">
      <formula>0</formula>
    </cfRule>
  </conditionalFormatting>
  <conditionalFormatting sqref="D436">
    <cfRule type="cellIs" dxfId="93" priority="193" operator="notEqual">
      <formula>0</formula>
    </cfRule>
  </conditionalFormatting>
  <conditionalFormatting sqref="D436:D444">
    <cfRule type="cellIs" dxfId="92" priority="153" operator="notEqual">
      <formula>0</formula>
    </cfRule>
  </conditionalFormatting>
  <conditionalFormatting sqref="D439:D444">
    <cfRule type="cellIs" dxfId="91" priority="250" operator="notEqual">
      <formula>0</formula>
    </cfRule>
  </conditionalFormatting>
  <conditionalFormatting sqref="D491">
    <cfRule type="cellIs" dxfId="90" priority="180" operator="notEqual">
      <formula>0</formula>
    </cfRule>
  </conditionalFormatting>
  <conditionalFormatting sqref="D494">
    <cfRule type="cellIs" dxfId="89" priority="179" operator="notEqual">
      <formula>0</formula>
    </cfRule>
  </conditionalFormatting>
  <conditionalFormatting sqref="D70:AU70 D253:AU253 D314:AU314">
    <cfRule type="cellIs" dxfId="88" priority="23" operator="notEqual">
      <formula>0</formula>
    </cfRule>
  </conditionalFormatting>
  <conditionalFormatting sqref="D131:AU131">
    <cfRule type="cellIs" dxfId="87" priority="1" operator="notEqual">
      <formula>0</formula>
    </cfRule>
  </conditionalFormatting>
  <conditionalFormatting sqref="D192:AU192">
    <cfRule type="cellIs" dxfId="86" priority="2" operator="notEqual">
      <formula>0</formula>
    </cfRule>
  </conditionalFormatting>
  <conditionalFormatting sqref="D9:AZ9 BB9:BC9 E14:AZ14 E75:AZ75 E136:AZ136 E197:AZ197 E258:AZ258 E319:AZ319 E380:AZ380">
    <cfRule type="containsErrors" dxfId="85" priority="12">
      <formula>ISERROR(D9)</formula>
    </cfRule>
  </conditionalFormatting>
  <conditionalFormatting sqref="E70:N70 BB70 P70:AZ70">
    <cfRule type="colorScale" priority="765">
      <colorScale>
        <cfvo type="min"/>
        <cfvo type="percentile" val="50"/>
        <cfvo type="max"/>
        <color rgb="FFF8696B"/>
        <color rgb="FFFFEB84"/>
        <color rgb="FF63BE7B"/>
      </colorScale>
    </cfRule>
  </conditionalFormatting>
  <conditionalFormatting sqref="E131:N131 AK131:AL131 P131:AG131 BB131 AP131:AZ131">
    <cfRule type="colorScale" priority="767">
      <colorScale>
        <cfvo type="min"/>
        <cfvo type="percentile" val="50"/>
        <cfvo type="max"/>
        <color rgb="FFF8696B"/>
        <color rgb="FFFFEB84"/>
        <color rgb="FF63BE7B"/>
      </colorScale>
    </cfRule>
  </conditionalFormatting>
  <conditionalFormatting sqref="E192:N192 AK192:AL192 P192:AF192 BB192 AP192:AZ192">
    <cfRule type="colorScale" priority="769">
      <colorScale>
        <cfvo type="min"/>
        <cfvo type="percentile" val="50"/>
        <cfvo type="max"/>
        <color rgb="FFF8696B"/>
        <color rgb="FFFFEB84"/>
        <color rgb="FF63BE7B"/>
      </colorScale>
    </cfRule>
  </conditionalFormatting>
  <conditionalFormatting sqref="E253:N253 AK253:AL253 P253:AF253 BB253 AP253:AZ253">
    <cfRule type="colorScale" priority="771">
      <colorScale>
        <cfvo type="min"/>
        <cfvo type="percentile" val="50"/>
        <cfvo type="max"/>
        <color rgb="FFF8696B"/>
        <color rgb="FFFFEB84"/>
        <color rgb="FF63BE7B"/>
      </colorScale>
    </cfRule>
  </conditionalFormatting>
  <conditionalFormatting sqref="E314:N314 AK314:AL314 P314:AF314 BB314 AP314:AZ314">
    <cfRule type="colorScale" priority="773">
      <colorScale>
        <cfvo type="min"/>
        <cfvo type="percentile" val="50"/>
        <cfvo type="max"/>
        <color rgb="FFF8696B"/>
        <color rgb="FFFFEB84"/>
        <color rgb="FF63BE7B"/>
      </colorScale>
    </cfRule>
  </conditionalFormatting>
  <conditionalFormatting sqref="G4:I4">
    <cfRule type="containsText" dxfId="84" priority="618" operator="containsText" text="CHECK NEEDED">
      <formula>NOT(ISERROR(SEARCH("CHECK NEEDED",G4)))</formula>
    </cfRule>
  </conditionalFormatting>
  <conditionalFormatting sqref="O70">
    <cfRule type="colorScale" priority="24">
      <colorScale>
        <cfvo type="min"/>
        <cfvo type="percentile" val="50"/>
        <cfvo type="max"/>
        <color rgb="FFF8696B"/>
        <color rgb="FFFFEB84"/>
        <color rgb="FF63BE7B"/>
      </colorScale>
    </cfRule>
  </conditionalFormatting>
  <conditionalFormatting sqref="O131">
    <cfRule type="colorScale" priority="25">
      <colorScale>
        <cfvo type="min"/>
        <cfvo type="percentile" val="50"/>
        <cfvo type="max"/>
        <color rgb="FFF8696B"/>
        <color rgb="FFFFEB84"/>
        <color rgb="FF63BE7B"/>
      </colorScale>
    </cfRule>
  </conditionalFormatting>
  <conditionalFormatting sqref="O192">
    <cfRule type="colorScale" priority="26">
      <colorScale>
        <cfvo type="min"/>
        <cfvo type="percentile" val="50"/>
        <cfvo type="max"/>
        <color rgb="FFF8696B"/>
        <color rgb="FFFFEB84"/>
        <color rgb="FF63BE7B"/>
      </colorScale>
    </cfRule>
  </conditionalFormatting>
  <conditionalFormatting sqref="O253">
    <cfRule type="colorScale" priority="27">
      <colorScale>
        <cfvo type="min"/>
        <cfvo type="percentile" val="50"/>
        <cfvo type="max"/>
        <color rgb="FFF8696B"/>
        <color rgb="FFFFEB84"/>
        <color rgb="FF63BE7B"/>
      </colorScale>
    </cfRule>
  </conditionalFormatting>
  <conditionalFormatting sqref="O314">
    <cfRule type="colorScale" priority="28">
      <colorScale>
        <cfvo type="min"/>
        <cfvo type="percentile" val="50"/>
        <cfvo type="max"/>
        <color rgb="FFF8696B"/>
        <color rgb="FFFFEB84"/>
        <color rgb="FF63BE7B"/>
      </colorScale>
    </cfRule>
  </conditionalFormatting>
  <conditionalFormatting sqref="O3:AO3 AR3:AZ3 BB3:BC3">
    <cfRule type="containsText" dxfId="83" priority="22" operator="containsText" text="CHECK NEEDED">
      <formula>NOT(ISERROR(SEARCH("CHECK NEEDED",O3)))</formula>
    </cfRule>
  </conditionalFormatting>
  <conditionalFormatting sqref="AG192">
    <cfRule type="colorScale" priority="53">
      <colorScale>
        <cfvo type="min"/>
        <cfvo type="percentile" val="50"/>
        <cfvo type="max"/>
        <color rgb="FFF8696B"/>
        <color rgb="FFFFEB84"/>
        <color rgb="FF63BE7B"/>
      </colorScale>
    </cfRule>
  </conditionalFormatting>
  <conditionalFormatting sqref="AG253">
    <cfRule type="colorScale" priority="51">
      <colorScale>
        <cfvo type="min"/>
        <cfvo type="percentile" val="50"/>
        <cfvo type="max"/>
        <color rgb="FFF8696B"/>
        <color rgb="FFFFEB84"/>
        <color rgb="FF63BE7B"/>
      </colorScale>
    </cfRule>
  </conditionalFormatting>
  <conditionalFormatting sqref="AG314">
    <cfRule type="colorScale" priority="49">
      <colorScale>
        <cfvo type="min"/>
        <cfvo type="percentile" val="50"/>
        <cfvo type="max"/>
        <color rgb="FFF8696B"/>
        <color rgb="FFFFEB84"/>
        <color rgb="FF63BE7B"/>
      </colorScale>
    </cfRule>
  </conditionalFormatting>
  <conditionalFormatting sqref="AH131:AJ131">
    <cfRule type="colorScale" priority="47">
      <colorScale>
        <cfvo type="min"/>
        <cfvo type="percentile" val="50"/>
        <cfvo type="max"/>
        <color rgb="FFF8696B"/>
        <color rgb="FFFFEB84"/>
        <color rgb="FF63BE7B"/>
      </colorScale>
    </cfRule>
  </conditionalFormatting>
  <conditionalFormatting sqref="AH192:AJ192">
    <cfRule type="colorScale" priority="42">
      <colorScale>
        <cfvo type="min"/>
        <cfvo type="percentile" val="50"/>
        <cfvo type="max"/>
        <color rgb="FFF8696B"/>
        <color rgb="FFFFEB84"/>
        <color rgb="FF63BE7B"/>
      </colorScale>
    </cfRule>
  </conditionalFormatting>
  <conditionalFormatting sqref="AH253:AJ253">
    <cfRule type="colorScale" priority="40">
      <colorScale>
        <cfvo type="min"/>
        <cfvo type="percentile" val="50"/>
        <cfvo type="max"/>
        <color rgb="FFF8696B"/>
        <color rgb="FFFFEB84"/>
        <color rgb="FF63BE7B"/>
      </colorScale>
    </cfRule>
  </conditionalFormatting>
  <conditionalFormatting sqref="AH314:AJ314">
    <cfRule type="colorScale" priority="38">
      <colorScale>
        <cfvo type="min"/>
        <cfvo type="percentile" val="50"/>
        <cfvo type="max"/>
        <color rgb="FFF8696B"/>
        <color rgb="FFFFEB84"/>
        <color rgb="FF63BE7B"/>
      </colorScale>
    </cfRule>
  </conditionalFormatting>
  <conditionalFormatting sqref="AM131">
    <cfRule type="colorScale" priority="6">
      <colorScale>
        <cfvo type="min"/>
        <cfvo type="percentile" val="50"/>
        <cfvo type="max"/>
        <color rgb="FFF8696B"/>
        <color rgb="FFFFEB84"/>
        <color rgb="FF63BE7B"/>
      </colorScale>
    </cfRule>
  </conditionalFormatting>
  <conditionalFormatting sqref="AM192:AN192">
    <cfRule type="colorScale" priority="34">
      <colorScale>
        <cfvo type="min"/>
        <cfvo type="percentile" val="50"/>
        <cfvo type="max"/>
        <color rgb="FFF8696B"/>
        <color rgb="FFFFEB84"/>
        <color rgb="FF63BE7B"/>
      </colorScale>
    </cfRule>
  </conditionalFormatting>
  <conditionalFormatting sqref="AM253:AO253">
    <cfRule type="colorScale" priority="32">
      <colorScale>
        <cfvo type="min"/>
        <cfvo type="percentile" val="50"/>
        <cfvo type="max"/>
        <color rgb="FFF8696B"/>
        <color rgb="FFFFEB84"/>
        <color rgb="FF63BE7B"/>
      </colorScale>
    </cfRule>
  </conditionalFormatting>
  <conditionalFormatting sqref="AM314:AO314">
    <cfRule type="colorScale" priority="30">
      <colorScale>
        <cfvo type="min"/>
        <cfvo type="percentile" val="50"/>
        <cfvo type="max"/>
        <color rgb="FFF8696B"/>
        <color rgb="FFFFEB84"/>
        <color rgb="FF63BE7B"/>
      </colorScale>
    </cfRule>
  </conditionalFormatting>
  <conditionalFormatting sqref="AN131">
    <cfRule type="colorScale" priority="36">
      <colorScale>
        <cfvo type="min"/>
        <cfvo type="percentile" val="50"/>
        <cfvo type="max"/>
        <color rgb="FFF8696B"/>
        <color rgb="FFFFEB84"/>
        <color rgb="FF63BE7B"/>
      </colorScale>
    </cfRule>
  </conditionalFormatting>
  <conditionalFormatting sqref="AO131">
    <cfRule type="colorScale" priority="4">
      <colorScale>
        <cfvo type="min"/>
        <cfvo type="percentile" val="50"/>
        <cfvo type="max"/>
        <color rgb="FFF8696B"/>
        <color rgb="FFFFEB84"/>
        <color rgb="FF63BE7B"/>
      </colorScale>
    </cfRule>
  </conditionalFormatting>
  <conditionalFormatting sqref="AO192">
    <cfRule type="colorScale" priority="9">
      <colorScale>
        <cfvo type="min"/>
        <cfvo type="percentile" val="50"/>
        <cfvo type="max"/>
        <color rgb="FFF8696B"/>
        <color rgb="FFFFEB84"/>
        <color rgb="FF63BE7B"/>
      </colorScale>
    </cfRule>
  </conditionalFormatting>
  <conditionalFormatting sqref="BC1">
    <cfRule type="cellIs" dxfId="82" priority="456" operator="notEqual">
      <formula>0</formula>
    </cfRule>
  </conditionalFormatting>
  <conditionalFormatting sqref="BC14">
    <cfRule type="cellIs" dxfId="81" priority="301" operator="notEqual">
      <formula>0</formula>
    </cfRule>
  </conditionalFormatting>
  <conditionalFormatting sqref="BC70:BC73">
    <cfRule type="cellIs" dxfId="80" priority="164" operator="notEqual">
      <formula>0</formula>
    </cfRule>
  </conditionalFormatting>
  <conditionalFormatting sqref="BC71:BC72">
    <cfRule type="colorScale" priority="110">
      <colorScale>
        <cfvo type="min"/>
        <cfvo type="percentile" val="50"/>
        <cfvo type="max"/>
        <color rgb="FFF8696B"/>
        <color rgb="FFFFEB84"/>
        <color rgb="FF63BE7B"/>
      </colorScale>
    </cfRule>
  </conditionalFormatting>
  <conditionalFormatting sqref="BC75">
    <cfRule type="cellIs" dxfId="79" priority="707" operator="notEqual">
      <formula>0</formula>
    </cfRule>
  </conditionalFormatting>
  <conditionalFormatting sqref="BC131:BC134">
    <cfRule type="cellIs" dxfId="78" priority="99" operator="notEqual">
      <formula>0</formula>
    </cfRule>
  </conditionalFormatting>
  <conditionalFormatting sqref="BC132:BC133">
    <cfRule type="colorScale" priority="96">
      <colorScale>
        <cfvo type="min"/>
        <cfvo type="percentile" val="50"/>
        <cfvo type="max"/>
        <color rgb="FFF8696B"/>
        <color rgb="FFFFEB84"/>
        <color rgb="FF63BE7B"/>
      </colorScale>
    </cfRule>
  </conditionalFormatting>
  <conditionalFormatting sqref="BC136">
    <cfRule type="cellIs" dxfId="77" priority="286" operator="notEqual">
      <formula>0</formula>
    </cfRule>
  </conditionalFormatting>
  <conditionalFormatting sqref="BC192:BC195">
    <cfRule type="cellIs" dxfId="76" priority="87" operator="notEqual">
      <formula>0</formula>
    </cfRule>
  </conditionalFormatting>
  <conditionalFormatting sqref="BC193:BC194">
    <cfRule type="colorScale" priority="84">
      <colorScale>
        <cfvo type="min"/>
        <cfvo type="percentile" val="50"/>
        <cfvo type="max"/>
        <color rgb="FFF8696B"/>
        <color rgb="FFFFEB84"/>
        <color rgb="FF63BE7B"/>
      </colorScale>
    </cfRule>
  </conditionalFormatting>
  <conditionalFormatting sqref="BC197:BC198">
    <cfRule type="cellIs" dxfId="75" priority="293" operator="notEqual">
      <formula>0</formula>
    </cfRule>
  </conditionalFormatting>
  <conditionalFormatting sqref="BC253:BC256">
    <cfRule type="cellIs" dxfId="74" priority="75" operator="notEqual">
      <formula>0</formula>
    </cfRule>
  </conditionalFormatting>
  <conditionalFormatting sqref="BC254:BC255">
    <cfRule type="colorScale" priority="72">
      <colorScale>
        <cfvo type="min"/>
        <cfvo type="percentile" val="50"/>
        <cfvo type="max"/>
        <color rgb="FFF8696B"/>
        <color rgb="FFFFEB84"/>
        <color rgb="FF63BE7B"/>
      </colorScale>
    </cfRule>
  </conditionalFormatting>
  <conditionalFormatting sqref="BC258:BC259">
    <cfRule type="cellIs" dxfId="73" priority="279" operator="notEqual">
      <formula>0</formula>
    </cfRule>
  </conditionalFormatting>
  <conditionalFormatting sqref="BC314:BC317">
    <cfRule type="cellIs" dxfId="72" priority="63" operator="notEqual">
      <formula>0</formula>
    </cfRule>
  </conditionalFormatting>
  <conditionalFormatting sqref="BC315:BC316">
    <cfRule type="colorScale" priority="60">
      <colorScale>
        <cfvo type="min"/>
        <cfvo type="percentile" val="50"/>
        <cfvo type="max"/>
        <color rgb="FFF8696B"/>
        <color rgb="FFFFEB84"/>
        <color rgb="FF63BE7B"/>
      </colorScale>
    </cfRule>
  </conditionalFormatting>
  <conditionalFormatting sqref="BC319:BC320">
    <cfRule type="cellIs" dxfId="71" priority="257" operator="notEqual">
      <formula>0</formula>
    </cfRule>
  </conditionalFormatting>
  <conditionalFormatting sqref="BC376:BC378">
    <cfRule type="cellIs" dxfId="70" priority="154" operator="notEqual">
      <formula>0</formula>
    </cfRule>
  </conditionalFormatting>
  <conditionalFormatting sqref="BC380:BC381">
    <cfRule type="cellIs" dxfId="69" priority="228" operator="notEqual">
      <formula>0</formula>
    </cfRule>
  </conditionalFormatting>
  <conditionalFormatting sqref="BC437:BC444">
    <cfRule type="cellIs" dxfId="68" priority="152" operator="notEqual">
      <formula>0</formula>
    </cfRule>
  </conditionalFormatting>
  <pageMargins left="0.7" right="0.7" top="0.75" bottom="0.75" header="0.3" footer="0.3"/>
  <pageSetup scale="49" fitToWidth="0" orientation="landscape" horizontalDpi="300" verticalDpi="3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2626C-AB7B-4D84-8333-4D5DD0D7B146}">
  <sheetPr>
    <tabColor theme="5" tint="0.79998168889431442"/>
    <pageSetUpPr fitToPage="1"/>
  </sheetPr>
  <dimension ref="A1:BH546"/>
  <sheetViews>
    <sheetView zoomScale="70" zoomScaleNormal="70" workbookViewId="0">
      <pane xSplit="3" ySplit="11" topLeftCell="E230" activePane="bottomRight" state="frozen"/>
      <selection activeCell="E167" sqref="E167"/>
      <selection pane="topRight" activeCell="E167" sqref="E167"/>
      <selection pane="bottomLeft" activeCell="E167" sqref="E167"/>
      <selection pane="bottomRight" activeCell="BC128" sqref="BC128"/>
    </sheetView>
  </sheetViews>
  <sheetFormatPr defaultColWidth="9.26953125" defaultRowHeight="14.5" outlineLevelRow="1" outlineLevelCol="1" x14ac:dyDescent="0.35"/>
  <cols>
    <col min="1" max="1" width="6" style="329" customWidth="1"/>
    <col min="2" max="2" width="45" style="329" bestFit="1" customWidth="1"/>
    <col min="3" max="3" width="25.26953125" style="329" bestFit="1" customWidth="1"/>
    <col min="4" max="4" width="20.54296875" style="329" bestFit="1" customWidth="1"/>
    <col min="5" max="5" width="22.26953125" style="329" bestFit="1" customWidth="1"/>
    <col min="6" max="6" width="22.54296875" style="329" hidden="1" customWidth="1"/>
    <col min="7" max="7" width="18.26953125" style="329" hidden="1" customWidth="1"/>
    <col min="8" max="8" width="18.7265625" style="329" bestFit="1" customWidth="1"/>
    <col min="9" max="9" width="21.54296875" style="329" bestFit="1" customWidth="1"/>
    <col min="10" max="22" width="15.26953125" style="329" hidden="1" customWidth="1"/>
    <col min="23" max="23" width="16" style="329" hidden="1" customWidth="1"/>
    <col min="24" max="24" width="17.7265625" style="329" hidden="1" customWidth="1"/>
    <col min="25" max="25" width="16.7265625" style="329" hidden="1" customWidth="1"/>
    <col min="26" max="26" width="19.26953125" style="329" customWidth="1"/>
    <col min="27" max="27" width="16.54296875" style="329" hidden="1" customWidth="1"/>
    <col min="28" max="28" width="20.7265625" style="329" hidden="1" customWidth="1"/>
    <col min="29" max="29" width="17.7265625" style="329" hidden="1" customWidth="1"/>
    <col min="30" max="31" width="16.7265625" style="329" hidden="1" customWidth="1"/>
    <col min="32" max="32" width="18.26953125" style="329" hidden="1" customWidth="1"/>
    <col min="33" max="33" width="21.1796875" style="329" hidden="1" customWidth="1"/>
    <col min="34" max="34" width="21" style="329" hidden="1" customWidth="1"/>
    <col min="35" max="35" width="18.54296875" style="329" hidden="1" customWidth="1"/>
    <col min="36" max="36" width="18" style="329" hidden="1" customWidth="1"/>
    <col min="37" max="37" width="16.7265625" style="329" hidden="1" customWidth="1"/>
    <col min="38" max="41" width="20.54296875" style="329" hidden="1" customWidth="1"/>
    <col min="42" max="42" width="19.7265625" style="329" hidden="1" customWidth="1"/>
    <col min="43" max="43" width="17.54296875" style="329" hidden="1" customWidth="1"/>
    <col min="44" max="44" width="18" style="329" hidden="1" customWidth="1"/>
    <col min="45" max="45" width="23.453125" style="1277" customWidth="1"/>
    <col min="46" max="52" width="16.7265625" style="329" hidden="1" customWidth="1" outlineLevel="1"/>
    <col min="53" max="53" width="9.26953125" hidden="1" customWidth="1" collapsed="1"/>
    <col min="54" max="54" width="20" style="329" bestFit="1" customWidth="1"/>
    <col min="55" max="55" width="30.26953125" style="329" bestFit="1" customWidth="1"/>
    <col min="56" max="56" width="16.26953125" style="329" bestFit="1" customWidth="1"/>
    <col min="57" max="57" width="15.26953125" style="329" customWidth="1"/>
    <col min="58" max="58" width="9.26953125" style="329"/>
    <col min="59" max="59" width="13.36328125" style="329" customWidth="1"/>
    <col min="60" max="16384" width="9.26953125" style="329"/>
  </cols>
  <sheetData>
    <row r="1" spans="1:58" s="441" customFormat="1" x14ac:dyDescent="0.35">
      <c r="A1" s="442" t="s">
        <v>73</v>
      </c>
      <c r="BC1" s="354"/>
      <c r="BF1" s="336"/>
    </row>
    <row r="2" spans="1:58" x14ac:dyDescent="0.35">
      <c r="A2" s="443" t="s">
        <v>957</v>
      </c>
      <c r="B2" s="441"/>
      <c r="G2" s="441"/>
      <c r="H2" s="441"/>
      <c r="I2" s="441"/>
      <c r="O2" s="332"/>
      <c r="P2" s="332"/>
      <c r="Q2" s="332"/>
      <c r="R2" s="332"/>
      <c r="S2" s="332"/>
      <c r="T2" s="332"/>
      <c r="U2" s="332"/>
      <c r="V2" s="332"/>
      <c r="W2" s="332"/>
      <c r="X2" s="108" t="s">
        <v>914</v>
      </c>
      <c r="Y2" s="332"/>
      <c r="Z2" s="332"/>
      <c r="AA2" s="332"/>
      <c r="AB2" s="332"/>
      <c r="AC2" s="332"/>
      <c r="AD2" s="332"/>
      <c r="AE2" s="332"/>
      <c r="AF2" s="332"/>
      <c r="AG2" s="332"/>
      <c r="AH2" s="332"/>
      <c r="AI2" s="332"/>
      <c r="AJ2" s="332"/>
      <c r="AK2" s="332"/>
      <c r="AL2" s="332"/>
      <c r="AM2" s="332"/>
      <c r="AN2" s="332"/>
      <c r="AO2" s="332"/>
      <c r="AR2" s="332"/>
      <c r="AS2" s="332"/>
      <c r="AT2" s="332"/>
      <c r="AU2" s="332"/>
      <c r="AV2" s="332"/>
      <c r="AW2" s="332"/>
      <c r="AX2" s="332"/>
      <c r="AY2" s="332"/>
      <c r="AZ2" s="332"/>
      <c r="BB2" s="332"/>
      <c r="BC2" s="1353" t="s">
        <v>1939</v>
      </c>
      <c r="BF2" s="336"/>
    </row>
    <row r="3" spans="1:58" s="444" customFormat="1" ht="18.75" customHeight="1" x14ac:dyDescent="0.3">
      <c r="A3" s="332" t="s">
        <v>922</v>
      </c>
      <c r="B3" s="329"/>
      <c r="G3" s="332"/>
      <c r="H3" s="443" t="s">
        <v>1934</v>
      </c>
      <c r="I3" s="332"/>
      <c r="M3" s="108" t="s">
        <v>915</v>
      </c>
      <c r="N3" s="109"/>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R3" s="445"/>
      <c r="AS3" s="445"/>
      <c r="AT3" s="445"/>
      <c r="AU3" s="445"/>
      <c r="AV3" s="445"/>
      <c r="AW3" s="445"/>
      <c r="AX3" s="445"/>
      <c r="AY3" s="445"/>
      <c r="AZ3" s="445"/>
      <c r="BB3" s="445"/>
      <c r="BC3" s="446"/>
      <c r="BF3" s="336"/>
    </row>
    <row r="4" spans="1:58" x14ac:dyDescent="0.35">
      <c r="B4" s="444"/>
      <c r="G4" s="445"/>
      <c r="H4" s="445"/>
      <c r="I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R4" s="445"/>
      <c r="AS4" s="445"/>
      <c r="AT4" s="445"/>
      <c r="AU4" s="445"/>
      <c r="AV4" s="445"/>
      <c r="AW4" s="445"/>
      <c r="AX4" s="445"/>
      <c r="AY4" s="445"/>
      <c r="AZ4" s="445"/>
      <c r="BB4" s="445"/>
      <c r="BD4" s="444"/>
      <c r="BF4" s="336"/>
    </row>
    <row r="5" spans="1:58" x14ac:dyDescent="0.35">
      <c r="G5" s="445"/>
      <c r="H5" s="445"/>
      <c r="I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R5" s="445"/>
      <c r="AS5" s="445"/>
      <c r="AT5" s="445"/>
      <c r="AU5" s="445"/>
      <c r="AV5" s="445"/>
      <c r="AW5" s="445"/>
      <c r="AX5" s="445"/>
      <c r="AY5" s="445"/>
      <c r="AZ5" s="445"/>
      <c r="BB5" s="445"/>
      <c r="BD5" s="444"/>
      <c r="BF5" s="336"/>
    </row>
    <row r="6" spans="1:58" hidden="1" outlineLevel="1" x14ac:dyDescent="0.35">
      <c r="C6" s="546"/>
      <c r="D6" s="546"/>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1275"/>
      <c r="AT6" s="445"/>
      <c r="AU6" s="445"/>
      <c r="AV6" s="445"/>
      <c r="AW6" s="445"/>
      <c r="AX6" s="445"/>
      <c r="AY6" s="445"/>
      <c r="AZ6" s="445"/>
      <c r="BD6" s="444"/>
      <c r="BF6" s="336"/>
    </row>
    <row r="7" spans="1:58" hidden="1" outlineLevel="1" x14ac:dyDescent="0.35">
      <c r="C7" s="721"/>
      <c r="D7" s="721"/>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1276"/>
      <c r="AT7" s="447"/>
      <c r="AU7" s="447"/>
      <c r="AV7" s="447"/>
      <c r="AW7" s="447"/>
      <c r="AX7" s="447"/>
      <c r="AY7" s="447"/>
      <c r="AZ7" s="447"/>
      <c r="BD7" s="444"/>
      <c r="BF7" s="336"/>
    </row>
    <row r="8" spans="1:58" collapsed="1" x14ac:dyDescent="0.35">
      <c r="B8" s="727"/>
      <c r="C8" s="722"/>
      <c r="D8" s="722"/>
      <c r="E8" s="1317" t="s">
        <v>76</v>
      </c>
      <c r="F8" s="448" t="s">
        <v>76</v>
      </c>
      <c r="G8" s="448" t="s">
        <v>76</v>
      </c>
      <c r="H8" s="448" t="s">
        <v>76</v>
      </c>
      <c r="I8" s="448" t="s">
        <v>76</v>
      </c>
      <c r="J8" s="448" t="s">
        <v>76</v>
      </c>
      <c r="K8" s="448" t="s">
        <v>76</v>
      </c>
      <c r="L8" s="448" t="s">
        <v>76</v>
      </c>
      <c r="M8" s="448" t="s">
        <v>76</v>
      </c>
      <c r="N8" s="448" t="s">
        <v>76</v>
      </c>
      <c r="O8" s="448" t="s">
        <v>76</v>
      </c>
      <c r="P8" s="448" t="s">
        <v>76</v>
      </c>
      <c r="Q8" s="448" t="s">
        <v>76</v>
      </c>
      <c r="R8" s="448" t="s">
        <v>76</v>
      </c>
      <c r="S8" s="448" t="s">
        <v>76</v>
      </c>
      <c r="T8" s="448" t="s">
        <v>76</v>
      </c>
      <c r="U8" s="448" t="s">
        <v>76</v>
      </c>
      <c r="V8" s="448" t="s">
        <v>76</v>
      </c>
      <c r="W8" s="448" t="s">
        <v>76</v>
      </c>
      <c r="X8" s="448" t="s">
        <v>76</v>
      </c>
      <c r="Y8" s="448" t="s">
        <v>76</v>
      </c>
      <c r="Z8" s="448" t="s">
        <v>76</v>
      </c>
      <c r="AA8" s="448" t="s">
        <v>76</v>
      </c>
      <c r="AB8" s="448" t="s">
        <v>76</v>
      </c>
      <c r="AC8" s="448" t="s">
        <v>76</v>
      </c>
      <c r="AD8" s="448" t="s">
        <v>76</v>
      </c>
      <c r="AE8" s="448" t="s">
        <v>76</v>
      </c>
      <c r="AF8" s="448" t="s">
        <v>76</v>
      </c>
      <c r="AG8" s="448" t="s">
        <v>76</v>
      </c>
      <c r="AH8" s="448" t="s">
        <v>76</v>
      </c>
      <c r="AI8" s="448" t="s">
        <v>76</v>
      </c>
      <c r="AJ8" s="448" t="s">
        <v>76</v>
      </c>
      <c r="AK8" s="448" t="s">
        <v>76</v>
      </c>
      <c r="AL8" s="448" t="s">
        <v>76</v>
      </c>
      <c r="AM8" s="448" t="s">
        <v>76</v>
      </c>
      <c r="AN8" s="448" t="s">
        <v>76</v>
      </c>
      <c r="AO8" s="448" t="s">
        <v>76</v>
      </c>
      <c r="AP8" s="449" t="s">
        <v>958</v>
      </c>
      <c r="AQ8" s="449" t="s">
        <v>958</v>
      </c>
      <c r="AR8" s="449" t="s">
        <v>958</v>
      </c>
      <c r="AS8" s="1286" t="s">
        <v>958</v>
      </c>
      <c r="AT8" s="449"/>
      <c r="AU8" s="449"/>
      <c r="AV8" s="449"/>
      <c r="AW8" s="449"/>
      <c r="AX8" s="449"/>
      <c r="AY8" s="449"/>
      <c r="AZ8" s="449"/>
      <c r="BD8" s="444"/>
      <c r="BF8" s="336"/>
    </row>
    <row r="9" spans="1:58" x14ac:dyDescent="0.35">
      <c r="D9" s="450"/>
      <c r="E9" s="1287">
        <f>VLOOKUP(E10,'Adj List'!$A$7:$D$472,3,FALSE)</f>
        <v>11.01</v>
      </c>
      <c r="F9" s="451">
        <f>VLOOKUP(F10,'Adj List'!$A$7:$D$472,3,FALSE)</f>
        <v>11.02</v>
      </c>
      <c r="G9" s="451">
        <f>VLOOKUP(G10,'Adj List'!$A$7:$D$472,3,FALSE)</f>
        <v>11.03</v>
      </c>
      <c r="H9" s="451">
        <f>VLOOKUP(H10,'Adj List'!$A$7:$D$472,3,FALSE)</f>
        <v>11.04</v>
      </c>
      <c r="I9" s="451">
        <f>VLOOKUP(I10,'Adj List'!$A$7:$D$472,3,FALSE)</f>
        <v>11.049999999999999</v>
      </c>
      <c r="J9" s="451">
        <f>VLOOKUP(J10,'Adj List'!$A$7:$D$472,3,FALSE)</f>
        <v>11.059999999999999</v>
      </c>
      <c r="K9" s="451">
        <f>VLOOKUP(K10,'Adj List'!$A$7:$D$472,3,FALSE)</f>
        <v>11.069999999999999</v>
      </c>
      <c r="L9" s="451">
        <f>VLOOKUP(L10,'Adj List'!$A$7:$D$472,3,FALSE)</f>
        <v>11.079999999999998</v>
      </c>
      <c r="M9" s="451">
        <f>VLOOKUP(M10,'Adj List'!$A$7:$D$472,3,FALSE)</f>
        <v>11.089999999999998</v>
      </c>
      <c r="N9" s="451">
        <f>VLOOKUP(N10,'Adj List'!$A$7:$D$472,3,FALSE)</f>
        <v>11.099999999999998</v>
      </c>
      <c r="O9" s="451">
        <f>VLOOKUP(O10,'Adj List'!$A$7:$D$472,3,FALSE)</f>
        <v>11.109999999999998</v>
      </c>
      <c r="P9" s="451">
        <f>VLOOKUP(P10,'Adj List'!$A$7:$D$472,3,FALSE)</f>
        <v>11.119999999999997</v>
      </c>
      <c r="Q9" s="451">
        <f>VLOOKUP(Q10,'Adj List'!$A$7:$D$472,3,FALSE)</f>
        <v>11.129999999999997</v>
      </c>
      <c r="R9" s="451">
        <f>VLOOKUP(R10,'Adj List'!$A$7:$D$472,3,FALSE)</f>
        <v>11.139999999999997</v>
      </c>
      <c r="S9" s="451">
        <f>VLOOKUP(S10,'Adj List'!$A$7:$D$472,3,FALSE)</f>
        <v>11.149999999999997</v>
      </c>
      <c r="T9" s="451">
        <f>VLOOKUP(T10,'Adj List'!$A$7:$D$472,3,FALSE)</f>
        <v>11.159999999999997</v>
      </c>
      <c r="U9" s="451">
        <f>VLOOKUP(U10,'Adj List'!$A$7:$D$472,3,FALSE)</f>
        <v>11.169999999999996</v>
      </c>
      <c r="V9" s="451">
        <f>VLOOKUP(V10,'Adj List'!$A$7:$D$472,3,FALSE)</f>
        <v>11.179999999999996</v>
      </c>
      <c r="W9" s="451">
        <f>VLOOKUP(W10,'Adj List'!$A$7:$D$472,3,FALSE)</f>
        <v>11.189999999999996</v>
      </c>
      <c r="X9" s="451">
        <f>VLOOKUP(X10,'Adj List'!$A$7:$D$472,3,FALSE)</f>
        <v>11.199999999999996</v>
      </c>
      <c r="Y9" s="451">
        <f>VLOOKUP(Y10,'Adj List'!$A$7:$D$472,3,FALSE)</f>
        <v>11.209999999999996</v>
      </c>
      <c r="Z9" s="451">
        <f>VLOOKUP(Z10,'Adj List'!$A$7:$D$472,3,FALSE)</f>
        <v>11.219999999999995</v>
      </c>
      <c r="AA9" s="451">
        <f>VLOOKUP(AA10,'Adj List'!$A$7:$D$472,3,FALSE)</f>
        <v>11.229999999999995</v>
      </c>
      <c r="AB9" s="451">
        <f>VLOOKUP(AB10,'Adj List'!$A$7:$D$472,3,FALSE)</f>
        <v>11.239999999999995</v>
      </c>
      <c r="AC9" s="451">
        <f>VLOOKUP(AC10,'Adj List'!$A$7:$D$472,3,FALSE)</f>
        <v>11.249999999999995</v>
      </c>
      <c r="AD9" s="451">
        <f>VLOOKUP(AD10,'Adj List'!$A$7:$D$472,3,FALSE)</f>
        <v>11.259999999999994</v>
      </c>
      <c r="AE9" s="451">
        <f>VLOOKUP(AE10,'Adj List'!$A$7:$D$472,3,FALSE)</f>
        <v>11.269999999999994</v>
      </c>
      <c r="AF9" s="451">
        <f>VLOOKUP(AF10,'Adj List'!$A$7:$D$472,3,FALSE)</f>
        <v>11.279999999999994</v>
      </c>
      <c r="AG9" s="451">
        <f>VLOOKUP(AG10,'Adj List'!$A$7:$D$472,3,FALSE)</f>
        <v>11.289999999999994</v>
      </c>
      <c r="AH9" s="451">
        <f>VLOOKUP(AH10,'Adj List'!$A$7:$D$472,3,FALSE)</f>
        <v>11.299999999999994</v>
      </c>
      <c r="AI9" s="451">
        <f>VLOOKUP(AI10,'Adj List'!$A$7:$D$472,3,FALSE)</f>
        <v>11.309999999999993</v>
      </c>
      <c r="AJ9" s="451">
        <f>VLOOKUP(AJ10,'Adj List'!$A$7:$D$472,3,FALSE)</f>
        <v>11.319999999999993</v>
      </c>
      <c r="AK9" s="451">
        <f>VLOOKUP(AK10,'Adj List'!$A$7:$D$472,3,FALSE)</f>
        <v>11.329999999999993</v>
      </c>
      <c r="AL9" s="451">
        <f>VLOOKUP(AL10,'Adj List'!$A$7:$D$472,3,FALSE)</f>
        <v>11.339999999999993</v>
      </c>
      <c r="AM9" s="451">
        <f>VLOOKUP(AM10,'Adj List'!$A$7:$D$472,3,FALSE)</f>
        <v>11.349999999999993</v>
      </c>
      <c r="AN9" s="451">
        <f>VLOOKUP(AN10,'Adj List'!$A$7:$D$472,3,FALSE)</f>
        <v>11.359999999999992</v>
      </c>
      <c r="AO9" s="451">
        <f>VLOOKUP(AO10,'Adj List'!$A$7:$D$472,3,FALSE)</f>
        <v>11.369999999999992</v>
      </c>
      <c r="AP9" s="451">
        <f>VLOOKUP(AP10,'Adj List'!$A$7:$D$472,3,FALSE)</f>
        <v>11.379999999999992</v>
      </c>
      <c r="AQ9" s="451">
        <f>VLOOKUP(AQ10,'Adj List'!$A$7:$D$472,3,FALSE)</f>
        <v>11.389999999999992</v>
      </c>
      <c r="AR9" s="451">
        <f>VLOOKUP(AR10,'Adj List'!$A$7:$D$472,3,FALSE)</f>
        <v>11.399999999999991</v>
      </c>
      <c r="AS9" s="1287" t="s">
        <v>1907</v>
      </c>
      <c r="AT9" s="451"/>
      <c r="AU9" s="451"/>
      <c r="AV9" s="451"/>
      <c r="AW9" s="451"/>
      <c r="AX9" s="451"/>
      <c r="AY9" s="451"/>
      <c r="AZ9" s="451"/>
      <c r="BB9" s="450"/>
      <c r="BC9" s="450"/>
      <c r="BD9" s="444"/>
      <c r="BF9" s="336"/>
    </row>
    <row r="10" spans="1:58" ht="70" x14ac:dyDescent="0.35">
      <c r="A10" s="160" t="s">
        <v>7</v>
      </c>
      <c r="B10" s="160" t="s">
        <v>8</v>
      </c>
      <c r="C10" s="160"/>
      <c r="D10" s="452" t="s">
        <v>1021</v>
      </c>
      <c r="E10" s="1318" t="str">
        <f>+'Adj List'!$A7</f>
        <v>REVENUES AND EXPENSES</v>
      </c>
      <c r="F10" s="445" t="str">
        <f>+'Adj List'!$A8</f>
        <v>PASS-THROUGH REVENUE &amp; EXPENSE</v>
      </c>
      <c r="G10" s="445" t="str">
        <f>+'Adj List'!$A9</f>
        <v>TEMPERATURE NORMALIZATION</v>
      </c>
      <c r="H10" s="445" t="str">
        <f>+'Adj List'!$A10</f>
        <v>FEDERAL INCOME TAX</v>
      </c>
      <c r="I10" s="445" t="str">
        <f>+'Adj List'!$A11</f>
        <v>TAX BENEFIT OF INTEREST</v>
      </c>
      <c r="J10" s="445" t="str">
        <f>+'Adj List'!$A12</f>
        <v>BAD DEBT EXPENSE</v>
      </c>
      <c r="K10" s="445" t="str">
        <f>+'Adj List'!$A13</f>
        <v>RATE CASE EXPENSE</v>
      </c>
      <c r="L10" s="445" t="str">
        <f>+'Adj List'!$A14</f>
        <v xml:space="preserve">EXCISE TAX </v>
      </c>
      <c r="M10" s="445" t="str">
        <f>+'Adj List'!$A15</f>
        <v>EMPLOYEE INSURANCE</v>
      </c>
      <c r="N10" s="445" t="str">
        <f>+'Adj List'!$A16</f>
        <v>INJURIES &amp; DAMAGES</v>
      </c>
      <c r="O10" s="445" t="str">
        <f>+'Adj List'!$A17</f>
        <v>INCENTIVE PAY</v>
      </c>
      <c r="P10" s="445" t="str">
        <f>+'Adj List'!$A18</f>
        <v>INVESTMENT PLAN</v>
      </c>
      <c r="Q10" s="445" t="str">
        <f>+'Adj List'!$A19</f>
        <v>INTEREST ON  CUSTOMER DEPOSITS</v>
      </c>
      <c r="R10" s="445" t="str">
        <f>+'Adj List'!$A20</f>
        <v>PROPERTY AND LIAB INSURANCE</v>
      </c>
      <c r="S10" s="445" t="str">
        <f>+'Adj List'!$A21</f>
        <v>DEFERRED GAINS AND LOSSES ON PROPERTY SALES</v>
      </c>
      <c r="T10" s="445" t="str">
        <f>+'Adj List'!$A22</f>
        <v>D&amp;O INSURANCE</v>
      </c>
      <c r="U10" s="445" t="str">
        <f>+'Adj List'!$A23</f>
        <v>PENSION PLAN</v>
      </c>
      <c r="V10" s="445" t="str">
        <f>+'Adj List'!$A24</f>
        <v>WAGE INCREASE</v>
      </c>
      <c r="W10" s="445" t="str">
        <f>+'Adj List'!$A25</f>
        <v>AMA TO EOP RATE BASE</v>
      </c>
      <c r="X10" s="445" t="str">
        <f>+'Adj List'!$A26</f>
        <v>UPDATE DEPR RATES</v>
      </c>
      <c r="Y10" s="445" t="str">
        <f>+'Adj List'!$A27</f>
        <v>WUTC FILING FEE</v>
      </c>
      <c r="Z10" s="445" t="str">
        <f>+'Adj List'!$A28</f>
        <v>PRO FORMA O&amp;M</v>
      </c>
      <c r="AA10" s="445" t="str">
        <f>+'Adj List'!$A29</f>
        <v>REMOVE AMR PLANT AND DEPRECIATION</v>
      </c>
      <c r="AB10" s="445" t="str">
        <f>+'Adj List'!$A30</f>
        <v>AMI PLANT AND DEFERRAL</v>
      </c>
      <c r="AC10" s="445" t="str">
        <f>+'Adj List'!$A31</f>
        <v>ENVIRONMENTAL REMEDIATION</v>
      </c>
      <c r="AD10" s="445" t="str">
        <f>+'Adj List'!$A32</f>
        <v>ESTIMATED PLANT RETIREMENTS RATE BASE</v>
      </c>
      <c r="AE10" s="445" t="str">
        <f>+'Adj List'!$A33</f>
        <v>TEST YEAR PLANT ROLL FORWARD</v>
      </c>
      <c r="AF10" s="445" t="str">
        <f>+'Adj List'!$A34</f>
        <v>PROVISIONAL PROFORMA RETIREMENTS DEPRECIATION</v>
      </c>
      <c r="AG10" s="445" t="str">
        <f>+'Adj List'!$A35</f>
        <v>PROGRAMMATIC PROVISIONAL PROFORMA</v>
      </c>
      <c r="AH10" s="445" t="str">
        <f>+'Adj List'!$A36</f>
        <v>CUSTOMER DRIVEN PROGRAMMATIC PROVISIONAL PROFORMA</v>
      </c>
      <c r="AI10" s="445" t="str">
        <f>+'Adj List'!$A37</f>
        <v>SPECIFIC PROVISIONAL PROFORMA</v>
      </c>
      <c r="AJ10" s="445" t="str">
        <f>+'Adj List'!$A38</f>
        <v>PROJECTED PROVISIONAL PROFORMA</v>
      </c>
      <c r="AK10" s="445" t="str">
        <f>+'Adj List'!$A39</f>
        <v>REMOVE TEST YEAR DEFERRALS</v>
      </c>
      <c r="AL10" s="445" t="str">
        <f>+'Adj List'!$A40</f>
        <v>REGULATORY FILING FEE DEFERRAL</v>
      </c>
      <c r="AM10" s="445" t="str">
        <f>+'Adj List'!$A41</f>
        <v>PARTICIPATORY FUNDING GRANTS</v>
      </c>
      <c r="AN10" s="445" t="str">
        <f>+'Adj List'!$A42</f>
        <v>TARGETED ELECTRIFICATION ACTIVITIES DEFERRAL AMORTIZATION</v>
      </c>
      <c r="AO10" s="445" t="s">
        <v>1530</v>
      </c>
      <c r="AP10" s="453" t="str">
        <f>+'Adj List'!$A78</f>
        <v>TACOMA LNG PLANT AND DEFERRAL - REMOVAL</v>
      </c>
      <c r="AQ10" s="453" t="str">
        <f>+'Adj List'!$A79</f>
        <v>GAS REGULATORY ASSETS &amp; LIAB</v>
      </c>
      <c r="AR10" s="453" t="str">
        <f>+'Adj List'!$A80</f>
        <v>REMOVAL OF TACOMA LNG PROJECT 4 MILE 16-INCH PIPELINE</v>
      </c>
      <c r="AS10" s="1288" t="s">
        <v>1929</v>
      </c>
      <c r="AT10" s="453"/>
      <c r="AU10" s="453"/>
      <c r="AV10" s="453"/>
      <c r="AW10" s="453"/>
      <c r="AX10" s="453"/>
      <c r="AY10" s="453"/>
      <c r="AZ10" s="453"/>
      <c r="BB10" s="452" t="s">
        <v>171</v>
      </c>
      <c r="BC10" s="452" t="s">
        <v>172</v>
      </c>
      <c r="BD10" s="444"/>
      <c r="BF10" s="435"/>
    </row>
    <row r="11" spans="1:58" x14ac:dyDescent="0.35">
      <c r="D11" s="454" t="str">
        <f>VLOOKUP(COLUMN(D70),'Named Ranges E'!A17:B569,2,FALSE)</f>
        <v>d</v>
      </c>
      <c r="E11" s="1278" t="str">
        <f>VLOOKUP(COLUMN(E70),'Named Ranges E'!A17:B569,2,FALSE)</f>
        <v>e</v>
      </c>
      <c r="F11" s="336" t="str">
        <f>VLOOKUP(COLUMN(F70),'Named Ranges E'!A17:B569,2,FALSE)</f>
        <v>f</v>
      </c>
      <c r="G11" s="336" t="str">
        <f>VLOOKUP(COLUMN(G70),'Named Ranges E'!A17:B569,2,FALSE)</f>
        <v>g</v>
      </c>
      <c r="H11" s="336" t="str">
        <f>VLOOKUP(COLUMN(H70),'Named Ranges E'!A17:B569,2,FALSE)</f>
        <v>h</v>
      </c>
      <c r="I11" s="336" t="str">
        <f>VLOOKUP(COLUMN(I70),'Named Ranges E'!A17:B569,2,FALSE)</f>
        <v>i</v>
      </c>
      <c r="J11" s="336" t="str">
        <f>VLOOKUP(COLUMN(J70),'Named Ranges E'!A17:B569,2,FALSE)</f>
        <v>j</v>
      </c>
      <c r="K11" s="336" t="str">
        <f>VLOOKUP(COLUMN(K70),'Named Ranges E'!A17:B569,2,FALSE)</f>
        <v>k</v>
      </c>
      <c r="L11" s="336" t="str">
        <f>VLOOKUP(COLUMN(L70),'Named Ranges E'!A17:B569,2,FALSE)</f>
        <v>l</v>
      </c>
      <c r="M11" s="336" t="str">
        <f>VLOOKUP(COLUMN(M70),'Named Ranges E'!A17:B569,2,FALSE)</f>
        <v>m</v>
      </c>
      <c r="N11" s="336" t="str">
        <f>VLOOKUP(COLUMN(N70),'Named Ranges E'!A17:B569,2,FALSE)</f>
        <v>n</v>
      </c>
      <c r="O11" s="336" t="str">
        <f>VLOOKUP(COLUMN(O70),'Named Ranges E'!A17:B569,2,FALSE)</f>
        <v>o</v>
      </c>
      <c r="P11" s="336" t="str">
        <f>VLOOKUP(COLUMN(P70),'Named Ranges E'!A17:B569,2,FALSE)</f>
        <v>p</v>
      </c>
      <c r="Q11" s="336" t="str">
        <f>VLOOKUP(COLUMN(Q70),'Named Ranges E'!A17:B569,2,FALSE)</f>
        <v>q</v>
      </c>
      <c r="R11" s="336" t="str">
        <f>VLOOKUP(COLUMN(R70),'Named Ranges E'!A17:B569,2,FALSE)</f>
        <v>r</v>
      </c>
      <c r="S11" s="336" t="str">
        <f>VLOOKUP(COLUMN(S70),'Named Ranges E'!A17:B569,2,FALSE)</f>
        <v>s</v>
      </c>
      <c r="T11" s="336" t="str">
        <f>VLOOKUP(COLUMN(T70),'Named Ranges E'!A17:B569,2,FALSE)</f>
        <v>t</v>
      </c>
      <c r="U11" s="336" t="str">
        <f>VLOOKUP(COLUMN(U70),'Named Ranges E'!A17:B569,2,FALSE)</f>
        <v>u</v>
      </c>
      <c r="V11" s="336" t="str">
        <f>VLOOKUP(COLUMN(V70),'Named Ranges E'!A17:B569,2,FALSE)</f>
        <v>v</v>
      </c>
      <c r="W11" s="336" t="str">
        <f>VLOOKUP(COLUMN(W70),'Named Ranges E'!A17:B569,2,FALSE)</f>
        <v>w</v>
      </c>
      <c r="X11" s="336" t="str">
        <f>VLOOKUP(COLUMN(X70),'Named Ranges E'!A17:B569,2,FALSE)</f>
        <v>x</v>
      </c>
      <c r="Y11" s="336" t="str">
        <f>VLOOKUP(COLUMN(Y70),'Named Ranges E'!A17:B569,2,FALSE)</f>
        <v>y</v>
      </c>
      <c r="Z11" s="336" t="str">
        <f>VLOOKUP(COLUMN(Z70),'Named Ranges E'!A17:B569,2,FALSE)</f>
        <v>z</v>
      </c>
      <c r="AA11" s="336" t="str">
        <f>VLOOKUP(COLUMN(AA70),'Named Ranges E'!A17:B569,2,FALSE)</f>
        <v>aa</v>
      </c>
      <c r="AB11" s="336" t="str">
        <f>VLOOKUP(COLUMN(AB70),'Named Ranges E'!A17:B569,2,FALSE)</f>
        <v>ab</v>
      </c>
      <c r="AC11" s="336" t="str">
        <f>VLOOKUP(COLUMN(AC70),'Named Ranges E'!A17:B569,2,FALSE)</f>
        <v>ac</v>
      </c>
      <c r="AD11" s="336" t="str">
        <f>VLOOKUP(COLUMN(AD70),'Named Ranges E'!A17:B569,2,FALSE)</f>
        <v>ad</v>
      </c>
      <c r="AE11" s="336" t="str">
        <f>VLOOKUP(COLUMN(AE70),'Named Ranges E'!A17:B569,2,FALSE)</f>
        <v>ae</v>
      </c>
      <c r="AF11" s="336" t="str">
        <f>VLOOKUP(COLUMN(AF70),'Named Ranges E'!A17:B569,2,FALSE)</f>
        <v>af</v>
      </c>
      <c r="AG11" s="336" t="str">
        <f>VLOOKUP(COLUMN(AG70),'Named Ranges E'!A17:B569,2,FALSE)</f>
        <v>ag</v>
      </c>
      <c r="AH11" s="336" t="str">
        <f>VLOOKUP(COLUMN(AH70),'Named Ranges E'!A17:B569,2,FALSE)</f>
        <v>ah</v>
      </c>
      <c r="AI11" s="336" t="str">
        <f>VLOOKUP(COLUMN(AI70),'Named Ranges E'!$A$17:$B$569,2,FALSE)</f>
        <v>ai</v>
      </c>
      <c r="AJ11" s="336" t="str">
        <f>VLOOKUP(COLUMN(AJ70),'Named Ranges E'!$A$17:$B$569,2,FALSE)</f>
        <v>aj</v>
      </c>
      <c r="AK11" s="336" t="str">
        <f>VLOOKUP(COLUMN(AK70),'Named Ranges E'!$A$17:$B$569,2,FALSE)</f>
        <v>ak</v>
      </c>
      <c r="AL11" s="336" t="str">
        <f>VLOOKUP(COLUMN(AL70),'Named Ranges E'!$A$17:$B$569,2,FALSE)</f>
        <v>al</v>
      </c>
      <c r="AM11" s="336" t="str">
        <f>VLOOKUP(COLUMN(AM70),'Named Ranges E'!$A$17:$B$569,2,FALSE)</f>
        <v>am</v>
      </c>
      <c r="AN11" s="336" t="str">
        <f>VLOOKUP(COLUMN(AN70),'Named Ranges E'!$A$17:$B$569,2,FALSE)</f>
        <v>an</v>
      </c>
      <c r="AO11" s="336" t="str">
        <f>VLOOKUP(COLUMN(AO70),'Named Ranges E'!$A$17:$B$569,2,FALSE)</f>
        <v>ao</v>
      </c>
      <c r="AP11" s="336" t="str">
        <f>VLOOKUP(COLUMN(AP70),'Named Ranges E'!$A$17:$B$569,2,FALSE)</f>
        <v>ap</v>
      </c>
      <c r="AQ11" s="336" t="str">
        <f>VLOOKUP(COLUMN(AQ70),'Named Ranges E'!$A$17:$B$569,2,FALSE)</f>
        <v>aq</v>
      </c>
      <c r="AR11" s="336" t="str">
        <f>VLOOKUP(COLUMN(AR70),'Named Ranges E'!$A$17:$B$569,2,FALSE)</f>
        <v>ar</v>
      </c>
      <c r="AS11" s="1278" t="str">
        <f>VLOOKUP(COLUMN(AS70),'Named Ranges E'!$A$17:$B$569,2,FALSE)</f>
        <v>as</v>
      </c>
      <c r="AT11" s="336"/>
      <c r="AU11" s="336"/>
      <c r="AV11" s="336"/>
      <c r="AW11" s="336"/>
      <c r="AX11" s="336"/>
      <c r="AY11" s="336"/>
      <c r="AZ11" s="336"/>
      <c r="BB11" s="455" t="str">
        <f>VLOOKUP(COLUMN(BB1),'Named Ranges E'!A17:B569,2,FALSE)&amp;" = ∑ "&amp;E11&amp;" thru "&amp;AZ11</f>
        <v xml:space="preserve">bb = ∑ e thru </v>
      </c>
      <c r="BC11" s="455" t="str">
        <f>VLOOKUP(COLUMN(BC1),'Named Ranges E'!A17:B569,2,FALSE)&amp;" = "&amp;LEFT(D11,2)&amp;" + "&amp;LEFT(BB11,2)</f>
        <v>bc = d + bb</v>
      </c>
      <c r="BD11" s="444"/>
      <c r="BF11" s="336"/>
    </row>
    <row r="12" spans="1:58" x14ac:dyDescent="0.35">
      <c r="A12" s="456"/>
      <c r="B12" s="456"/>
      <c r="C12" s="456"/>
      <c r="D12" s="457"/>
      <c r="E12" s="456"/>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6"/>
      <c r="AT12" s="457"/>
      <c r="AU12" s="457"/>
      <c r="AV12" s="457"/>
      <c r="AW12" s="457"/>
      <c r="AX12" s="457"/>
      <c r="AY12" s="457"/>
      <c r="AZ12" s="457"/>
      <c r="BB12" s="457"/>
      <c r="BC12" s="457"/>
      <c r="BD12" s="444"/>
      <c r="BF12" s="336"/>
    </row>
    <row r="13" spans="1:58" outlineLevel="1" x14ac:dyDescent="0.35">
      <c r="A13" s="456"/>
      <c r="B13" s="458"/>
      <c r="C13" s="459" t="s">
        <v>892</v>
      </c>
      <c r="D13" s="460"/>
      <c r="E13" s="461">
        <v>45078</v>
      </c>
      <c r="F13" s="461">
        <v>45078</v>
      </c>
      <c r="G13" s="461">
        <v>45078</v>
      </c>
      <c r="H13" s="461">
        <v>45078</v>
      </c>
      <c r="I13" s="461">
        <v>45078</v>
      </c>
      <c r="J13" s="461">
        <v>45078</v>
      </c>
      <c r="K13" s="461">
        <v>45078</v>
      </c>
      <c r="L13" s="461">
        <v>45078</v>
      </c>
      <c r="M13" s="461">
        <v>45078</v>
      </c>
      <c r="N13" s="461">
        <v>45078</v>
      </c>
      <c r="O13" s="461">
        <v>45078</v>
      </c>
      <c r="P13" s="461">
        <v>45078</v>
      </c>
      <c r="Q13" s="461">
        <v>45078</v>
      </c>
      <c r="R13" s="461">
        <v>45078</v>
      </c>
      <c r="S13" s="461">
        <v>45078</v>
      </c>
      <c r="T13" s="461">
        <v>45078</v>
      </c>
      <c r="U13" s="461">
        <v>45078</v>
      </c>
      <c r="V13" s="461">
        <v>45078</v>
      </c>
      <c r="W13" s="461">
        <v>45078</v>
      </c>
      <c r="X13" s="461">
        <v>45078</v>
      </c>
      <c r="Y13" s="461">
        <v>45078</v>
      </c>
      <c r="Z13" s="461">
        <v>45078</v>
      </c>
      <c r="AA13" s="461">
        <v>45078</v>
      </c>
      <c r="AB13" s="461">
        <v>45078</v>
      </c>
      <c r="AC13" s="461">
        <v>45078</v>
      </c>
      <c r="AD13" s="461">
        <v>45078</v>
      </c>
      <c r="AE13" s="461">
        <v>45078</v>
      </c>
      <c r="AF13" s="461">
        <v>45078</v>
      </c>
      <c r="AG13" s="461">
        <v>45078</v>
      </c>
      <c r="AH13" s="461">
        <v>45078</v>
      </c>
      <c r="AI13" s="461">
        <v>45078</v>
      </c>
      <c r="AJ13" s="461">
        <v>45078</v>
      </c>
      <c r="AK13" s="461">
        <v>45078</v>
      </c>
      <c r="AL13" s="461">
        <v>45078</v>
      </c>
      <c r="AM13" s="461">
        <v>45078</v>
      </c>
      <c r="AN13" s="461">
        <v>45078</v>
      </c>
      <c r="AO13" s="461">
        <v>45078</v>
      </c>
      <c r="AP13" s="461">
        <v>45078</v>
      </c>
      <c r="AQ13" s="461">
        <v>45078</v>
      </c>
      <c r="AR13" s="461">
        <v>45078</v>
      </c>
      <c r="AS13" s="461">
        <v>45078</v>
      </c>
      <c r="AT13" s="461">
        <v>45078</v>
      </c>
      <c r="AU13" s="461">
        <v>45078</v>
      </c>
      <c r="AV13" s="461">
        <v>45078</v>
      </c>
      <c r="AW13" s="461">
        <v>45078</v>
      </c>
      <c r="AX13" s="461">
        <v>45078</v>
      </c>
      <c r="AY13" s="461">
        <v>45078</v>
      </c>
      <c r="AZ13" s="461">
        <v>45078</v>
      </c>
      <c r="BB13" s="461">
        <v>45078</v>
      </c>
      <c r="BC13" s="461">
        <v>45078</v>
      </c>
      <c r="BD13" s="444"/>
      <c r="BF13" s="336"/>
    </row>
    <row r="14" spans="1:58" outlineLevel="1" x14ac:dyDescent="0.35">
      <c r="A14" s="456"/>
      <c r="B14" s="458"/>
      <c r="C14" s="460">
        <v>45078</v>
      </c>
      <c r="D14" s="462"/>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B14" s="456"/>
      <c r="BC14" s="462"/>
      <c r="BD14" s="444"/>
      <c r="BF14" s="336"/>
    </row>
    <row r="15" spans="1:58" outlineLevel="1" x14ac:dyDescent="0.35">
      <c r="A15" s="336">
        <v>1</v>
      </c>
      <c r="B15" s="464" t="s">
        <v>0</v>
      </c>
      <c r="C15" s="465" t="s">
        <v>892</v>
      </c>
      <c r="D15" s="466"/>
      <c r="E15" s="1279"/>
      <c r="AS15" s="1279"/>
      <c r="BB15" s="466"/>
      <c r="BC15" s="466"/>
      <c r="BD15" s="444"/>
      <c r="BF15" s="336"/>
    </row>
    <row r="16" spans="1:58" outlineLevel="1" x14ac:dyDescent="0.35">
      <c r="A16" s="336">
        <f>+A15+1</f>
        <v>2</v>
      </c>
      <c r="B16" s="464" t="s">
        <v>48</v>
      </c>
      <c r="C16" s="465" t="s">
        <v>892</v>
      </c>
      <c r="D16" s="467">
        <v>1320264855.1100001</v>
      </c>
      <c r="E16" s="1305">
        <f>'Common Adj'!E37</f>
        <v>42653066.143237561</v>
      </c>
      <c r="F16" s="468">
        <f>'Common Adj'!W68</f>
        <v>-727661685.21031713</v>
      </c>
      <c r="G16" s="468">
        <f>'Common Adj'!AO20</f>
        <v>-90596.170162767172</v>
      </c>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9"/>
      <c r="AQ16" s="469"/>
      <c r="AR16" s="469"/>
      <c r="AS16" s="1289"/>
      <c r="AT16" s="469"/>
      <c r="AU16" s="469"/>
      <c r="AV16" s="469"/>
      <c r="AW16" s="469"/>
      <c r="AX16" s="469"/>
      <c r="AY16" s="469"/>
      <c r="AZ16" s="469"/>
      <c r="BB16" s="467">
        <f>SUM(E16:AZ16)</f>
        <v>-685099215.23724234</v>
      </c>
      <c r="BC16" s="467">
        <f>+BB16+D16</f>
        <v>635165639.87275779</v>
      </c>
      <c r="BD16" s="444"/>
      <c r="BE16" s="173"/>
      <c r="BF16" s="336"/>
    </row>
    <row r="17" spans="1:58" outlineLevel="1" x14ac:dyDescent="0.35">
      <c r="A17" s="336">
        <f t="shared" ref="A17:A72" si="0">+A16+1</f>
        <v>3</v>
      </c>
      <c r="B17" s="464" t="s">
        <v>49</v>
      </c>
      <c r="C17" s="465" t="s">
        <v>892</v>
      </c>
      <c r="D17" s="470">
        <v>0</v>
      </c>
      <c r="E17" s="1306"/>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2"/>
      <c r="AQ17" s="472"/>
      <c r="AR17" s="472"/>
      <c r="AS17" s="1290"/>
      <c r="AT17" s="472"/>
      <c r="AU17" s="472"/>
      <c r="AV17" s="472"/>
      <c r="AW17" s="472"/>
      <c r="AX17" s="472"/>
      <c r="AY17" s="472"/>
      <c r="AZ17" s="472"/>
      <c r="BB17" s="470">
        <f>SUM(E17:AZ17)</f>
        <v>0</v>
      </c>
      <c r="BC17" s="470">
        <f>+BB17+D17</f>
        <v>0</v>
      </c>
      <c r="BD17" s="444"/>
      <c r="BE17" s="173"/>
      <c r="BF17" s="336"/>
    </row>
    <row r="18" spans="1:58" outlineLevel="1" x14ac:dyDescent="0.35">
      <c r="A18" s="336">
        <f t="shared" si="0"/>
        <v>4</v>
      </c>
      <c r="B18" s="464" t="s">
        <v>50</v>
      </c>
      <c r="C18" s="465" t="s">
        <v>892</v>
      </c>
      <c r="D18" s="470">
        <v>0</v>
      </c>
      <c r="E18" s="1306"/>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2"/>
      <c r="AQ18" s="472"/>
      <c r="AR18" s="472"/>
      <c r="AS18" s="1290"/>
      <c r="AT18" s="472"/>
      <c r="AU18" s="472"/>
      <c r="AV18" s="472"/>
      <c r="AW18" s="472"/>
      <c r="AX18" s="472"/>
      <c r="AY18" s="472"/>
      <c r="AZ18" s="472"/>
      <c r="BB18" s="470">
        <f>SUM(E18:AZ18)</f>
        <v>0</v>
      </c>
      <c r="BC18" s="470">
        <f>+BB18+D18</f>
        <v>0</v>
      </c>
      <c r="BD18" s="444"/>
      <c r="BE18" s="173"/>
      <c r="BF18" s="336"/>
    </row>
    <row r="19" spans="1:58" outlineLevel="1" x14ac:dyDescent="0.35">
      <c r="A19" s="336">
        <f t="shared" si="0"/>
        <v>5</v>
      </c>
      <c r="B19" s="464" t="s">
        <v>51</v>
      </c>
      <c r="C19" s="465" t="s">
        <v>892</v>
      </c>
      <c r="D19" s="470">
        <v>14367467.789999999</v>
      </c>
      <c r="E19" s="1306">
        <f>'Common Adj'!E54</f>
        <v>111532.00999999978</v>
      </c>
      <c r="F19" s="471">
        <f>'Common Adj'!W69</f>
        <v>11058338.82</v>
      </c>
      <c r="G19" s="471"/>
      <c r="H19" s="471"/>
      <c r="I19" s="471"/>
      <c r="J19" s="471"/>
      <c r="K19" s="471"/>
      <c r="L19" s="471"/>
      <c r="M19" s="471"/>
      <c r="N19" s="471"/>
      <c r="O19" s="471"/>
      <c r="P19" s="471"/>
      <c r="Q19" s="471"/>
      <c r="R19" s="471"/>
      <c r="S19" s="471"/>
      <c r="T19" s="471"/>
      <c r="U19" s="471"/>
      <c r="V19" s="471"/>
      <c r="W19" s="471"/>
      <c r="X19" s="471"/>
      <c r="Y19" s="471"/>
      <c r="Z19" s="471"/>
      <c r="AA19" s="471"/>
      <c r="AB19" s="471">
        <f>+'Common Adj'!PC38</f>
        <v>-3844168.62</v>
      </c>
      <c r="AC19" s="471"/>
      <c r="AD19" s="471"/>
      <c r="AE19" s="471"/>
      <c r="AF19" s="471"/>
      <c r="AG19" s="471"/>
      <c r="AH19" s="471"/>
      <c r="AI19" s="471"/>
      <c r="AJ19" s="471"/>
      <c r="AK19" s="471">
        <f>'Common Adj'!UB19</f>
        <v>0</v>
      </c>
      <c r="AL19" s="471"/>
      <c r="AM19" s="471"/>
      <c r="AN19" s="471"/>
      <c r="AO19" s="471"/>
      <c r="AP19" s="472"/>
      <c r="AQ19" s="472"/>
      <c r="AR19" s="472"/>
      <c r="AS19" s="1290"/>
      <c r="AT19" s="472"/>
      <c r="AU19" s="472"/>
      <c r="AV19" s="472"/>
      <c r="AW19" s="472"/>
      <c r="AX19" s="472"/>
      <c r="AY19" s="472"/>
      <c r="AZ19" s="472"/>
      <c r="BB19" s="470">
        <f>SUM(E19:AZ19)</f>
        <v>7325702.21</v>
      </c>
      <c r="BC19" s="470">
        <f>+BB19+D19</f>
        <v>21693170</v>
      </c>
      <c r="BD19" s="444"/>
      <c r="BE19" s="173"/>
      <c r="BF19" s="336"/>
    </row>
    <row r="20" spans="1:58" outlineLevel="1" x14ac:dyDescent="0.35">
      <c r="A20" s="336">
        <f t="shared" si="0"/>
        <v>6</v>
      </c>
      <c r="B20" s="464" t="s">
        <v>58</v>
      </c>
      <c r="C20" s="465" t="s">
        <v>892</v>
      </c>
      <c r="D20" s="473">
        <f t="shared" ref="D20:AI20" si="1">SUM(D16:D19)</f>
        <v>1334632322.9000001</v>
      </c>
      <c r="E20" s="1307">
        <f t="shared" si="1"/>
        <v>42764598.153237559</v>
      </c>
      <c r="F20" s="474">
        <f t="shared" si="1"/>
        <v>-716603346.39031708</v>
      </c>
      <c r="G20" s="474">
        <f t="shared" si="1"/>
        <v>-90596.170162767172</v>
      </c>
      <c r="H20" s="474">
        <f t="shared" si="1"/>
        <v>0</v>
      </c>
      <c r="I20" s="474">
        <f t="shared" si="1"/>
        <v>0</v>
      </c>
      <c r="J20" s="474">
        <f t="shared" si="1"/>
        <v>0</v>
      </c>
      <c r="K20" s="474">
        <f t="shared" si="1"/>
        <v>0</v>
      </c>
      <c r="L20" s="474">
        <f t="shared" si="1"/>
        <v>0</v>
      </c>
      <c r="M20" s="474">
        <f t="shared" si="1"/>
        <v>0</v>
      </c>
      <c r="N20" s="474">
        <f t="shared" si="1"/>
        <v>0</v>
      </c>
      <c r="O20" s="474">
        <f t="shared" si="1"/>
        <v>0</v>
      </c>
      <c r="P20" s="474">
        <f t="shared" si="1"/>
        <v>0</v>
      </c>
      <c r="Q20" s="474">
        <f t="shared" si="1"/>
        <v>0</v>
      </c>
      <c r="R20" s="474">
        <f t="shared" si="1"/>
        <v>0</v>
      </c>
      <c r="S20" s="474">
        <f t="shared" si="1"/>
        <v>0</v>
      </c>
      <c r="T20" s="474">
        <f t="shared" si="1"/>
        <v>0</v>
      </c>
      <c r="U20" s="474">
        <f t="shared" si="1"/>
        <v>0</v>
      </c>
      <c r="V20" s="474">
        <f t="shared" si="1"/>
        <v>0</v>
      </c>
      <c r="W20" s="474">
        <f t="shared" si="1"/>
        <v>0</v>
      </c>
      <c r="X20" s="474">
        <f t="shared" si="1"/>
        <v>0</v>
      </c>
      <c r="Y20" s="474">
        <f t="shared" si="1"/>
        <v>0</v>
      </c>
      <c r="Z20" s="474">
        <f t="shared" si="1"/>
        <v>0</v>
      </c>
      <c r="AA20" s="474">
        <f t="shared" si="1"/>
        <v>0</v>
      </c>
      <c r="AB20" s="474">
        <f t="shared" si="1"/>
        <v>-3844168.62</v>
      </c>
      <c r="AC20" s="474">
        <f t="shared" si="1"/>
        <v>0</v>
      </c>
      <c r="AD20" s="474">
        <f t="shared" si="1"/>
        <v>0</v>
      </c>
      <c r="AE20" s="474">
        <f t="shared" si="1"/>
        <v>0</v>
      </c>
      <c r="AF20" s="474">
        <f t="shared" si="1"/>
        <v>0</v>
      </c>
      <c r="AG20" s="474">
        <f t="shared" si="1"/>
        <v>0</v>
      </c>
      <c r="AH20" s="474">
        <f t="shared" si="1"/>
        <v>0</v>
      </c>
      <c r="AI20" s="474">
        <f t="shared" si="1"/>
        <v>0</v>
      </c>
      <c r="AJ20" s="474"/>
      <c r="AK20" s="474">
        <f t="shared" ref="AK20:AS20" si="2">SUM(AK16:AK19)</f>
        <v>0</v>
      </c>
      <c r="AL20" s="474">
        <f t="shared" si="2"/>
        <v>0</v>
      </c>
      <c r="AM20" s="474">
        <f t="shared" si="2"/>
        <v>0</v>
      </c>
      <c r="AN20" s="474">
        <f t="shared" si="2"/>
        <v>0</v>
      </c>
      <c r="AO20" s="474">
        <f t="shared" si="2"/>
        <v>0</v>
      </c>
      <c r="AP20" s="436">
        <f t="shared" si="2"/>
        <v>0</v>
      </c>
      <c r="AQ20" s="436">
        <f t="shared" si="2"/>
        <v>0</v>
      </c>
      <c r="AR20" s="436">
        <f t="shared" si="2"/>
        <v>0</v>
      </c>
      <c r="AS20" s="1291">
        <f t="shared" si="2"/>
        <v>0</v>
      </c>
      <c r="AT20" s="436"/>
      <c r="AU20" s="436"/>
      <c r="AV20" s="436"/>
      <c r="AW20" s="436"/>
      <c r="AX20" s="436"/>
      <c r="AY20" s="436"/>
      <c r="AZ20" s="436"/>
      <c r="BB20" s="473">
        <f>SUM(BB16:BB19)</f>
        <v>-677773513.0272423</v>
      </c>
      <c r="BC20" s="473">
        <f>SUM(BC16:BC19)</f>
        <v>656858809.87275779</v>
      </c>
      <c r="BD20" s="444"/>
      <c r="BE20" s="173"/>
      <c r="BF20" s="336"/>
    </row>
    <row r="21" spans="1:58" s="475" customFormat="1" ht="14" outlineLevel="1" x14ac:dyDescent="0.3">
      <c r="A21" s="336">
        <f t="shared" si="0"/>
        <v>7</v>
      </c>
      <c r="C21" s="465" t="s">
        <v>892</v>
      </c>
      <c r="D21" s="470"/>
      <c r="E21" s="1306"/>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2"/>
      <c r="AQ21" s="472"/>
      <c r="AR21" s="472"/>
      <c r="AS21" s="1290"/>
      <c r="AT21" s="472"/>
      <c r="AU21" s="472"/>
      <c r="AV21" s="472"/>
      <c r="AW21" s="472"/>
      <c r="AX21" s="472"/>
      <c r="AY21" s="472"/>
      <c r="AZ21" s="472"/>
      <c r="BB21" s="470"/>
      <c r="BC21" s="470"/>
      <c r="BD21" s="444"/>
      <c r="BE21" s="173"/>
      <c r="BF21" s="336"/>
    </row>
    <row r="22" spans="1:58" outlineLevel="1" x14ac:dyDescent="0.35">
      <c r="A22" s="336">
        <f t="shared" si="0"/>
        <v>8</v>
      </c>
      <c r="B22" s="464" t="s">
        <v>52</v>
      </c>
      <c r="C22" s="465" t="s">
        <v>892</v>
      </c>
      <c r="D22" s="466"/>
      <c r="E22" s="1308"/>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S22" s="1279"/>
      <c r="BB22" s="466"/>
      <c r="BC22" s="466"/>
      <c r="BD22" s="444"/>
      <c r="BE22" s="173"/>
      <c r="BF22" s="336"/>
    </row>
    <row r="23" spans="1:58" outlineLevel="1" x14ac:dyDescent="0.35">
      <c r="A23" s="336">
        <f t="shared" si="0"/>
        <v>9</v>
      </c>
      <c r="C23" s="465" t="s">
        <v>892</v>
      </c>
      <c r="D23" s="466"/>
      <c r="E23" s="1308"/>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S23" s="1279"/>
      <c r="BB23" s="466"/>
      <c r="BC23" s="466"/>
      <c r="BD23" s="444"/>
      <c r="BE23" s="173"/>
      <c r="BF23" s="336"/>
    </row>
    <row r="24" spans="1:58" outlineLevel="1" x14ac:dyDescent="0.35">
      <c r="A24" s="336">
        <f t="shared" si="0"/>
        <v>10</v>
      </c>
      <c r="B24" s="464" t="s">
        <v>53</v>
      </c>
      <c r="C24" s="465" t="s">
        <v>892</v>
      </c>
      <c r="D24" s="466"/>
      <c r="E24" s="1308"/>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S24" s="1279"/>
      <c r="BB24" s="466"/>
      <c r="BC24" s="466"/>
      <c r="BD24" s="444"/>
      <c r="BE24" s="173"/>
      <c r="BF24" s="336"/>
    </row>
    <row r="25" spans="1:58" outlineLevel="1" x14ac:dyDescent="0.35">
      <c r="A25" s="336">
        <f t="shared" si="0"/>
        <v>11</v>
      </c>
      <c r="B25" s="464" t="s">
        <v>54</v>
      </c>
      <c r="C25" s="465" t="s">
        <v>892</v>
      </c>
      <c r="D25" s="476">
        <v>0</v>
      </c>
      <c r="E25" s="130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173"/>
      <c r="AQ25" s="173"/>
      <c r="AR25" s="173"/>
      <c r="AS25" s="1292"/>
      <c r="AT25" s="173"/>
      <c r="AU25" s="173"/>
      <c r="AV25" s="173"/>
      <c r="AW25" s="173"/>
      <c r="AX25" s="173"/>
      <c r="AY25" s="173"/>
      <c r="AZ25" s="173"/>
      <c r="BB25" s="476">
        <f>SUM(E25:AZ25)</f>
        <v>0</v>
      </c>
      <c r="BC25" s="476">
        <f>+BB25+D25</f>
        <v>0</v>
      </c>
      <c r="BD25" s="444"/>
      <c r="BE25" s="173"/>
      <c r="BF25" s="336"/>
    </row>
    <row r="26" spans="1:58" outlineLevel="1" x14ac:dyDescent="0.35">
      <c r="A26" s="336">
        <f t="shared" si="0"/>
        <v>12</v>
      </c>
      <c r="B26" s="464" t="s">
        <v>55</v>
      </c>
      <c r="C26" s="465" t="s">
        <v>892</v>
      </c>
      <c r="D26" s="470">
        <v>710474541.38000011</v>
      </c>
      <c r="E26" s="1306">
        <f>'Common Adj'!E62</f>
        <v>0</v>
      </c>
      <c r="F26" s="471">
        <f>'Common Adj'!W72</f>
        <v>-581461939.38</v>
      </c>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f>'Common Adj'!UB32</f>
        <v>-129012602</v>
      </c>
      <c r="AL26" s="471"/>
      <c r="AM26" s="471"/>
      <c r="AN26" s="471"/>
      <c r="AO26" s="471"/>
      <c r="AP26" s="472"/>
      <c r="AQ26" s="472"/>
      <c r="AR26" s="472"/>
      <c r="AS26" s="1290"/>
      <c r="AT26" s="472"/>
      <c r="AU26" s="472"/>
      <c r="AV26" s="472"/>
      <c r="AW26" s="472"/>
      <c r="AX26" s="472"/>
      <c r="AY26" s="472"/>
      <c r="AZ26" s="472"/>
      <c r="BB26" s="470">
        <f>SUM(E26:AZ26)</f>
        <v>-710474541.38</v>
      </c>
      <c r="BC26" s="470">
        <f>+BB26+D26</f>
        <v>0</v>
      </c>
      <c r="BD26" s="444"/>
      <c r="BE26" s="173"/>
      <c r="BF26" s="336"/>
    </row>
    <row r="27" spans="1:58" outlineLevel="1" x14ac:dyDescent="0.35">
      <c r="A27" s="336">
        <f t="shared" si="0"/>
        <v>13</v>
      </c>
      <c r="B27" s="464" t="s">
        <v>56</v>
      </c>
      <c r="C27" s="465" t="s">
        <v>892</v>
      </c>
      <c r="D27" s="470">
        <v>0</v>
      </c>
      <c r="E27" s="1306"/>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2"/>
      <c r="AQ27" s="472"/>
      <c r="AR27" s="472"/>
      <c r="AS27" s="1290"/>
      <c r="AT27" s="472"/>
      <c r="AU27" s="472"/>
      <c r="AV27" s="472"/>
      <c r="AW27" s="472"/>
      <c r="AX27" s="472"/>
      <c r="AY27" s="472"/>
      <c r="AZ27" s="472"/>
      <c r="BB27" s="470">
        <f>SUM(E27:AZ27)</f>
        <v>0</v>
      </c>
      <c r="BC27" s="470">
        <f>+BB27+D27</f>
        <v>0</v>
      </c>
      <c r="BD27" s="444"/>
      <c r="BE27" s="173"/>
      <c r="BF27" s="336"/>
    </row>
    <row r="28" spans="1:58" outlineLevel="1" x14ac:dyDescent="0.35">
      <c r="A28" s="336">
        <f t="shared" si="0"/>
        <v>14</v>
      </c>
      <c r="B28" s="329" t="s">
        <v>57</v>
      </c>
      <c r="C28" s="465" t="s">
        <v>892</v>
      </c>
      <c r="D28" s="470">
        <v>0</v>
      </c>
      <c r="E28" s="1306"/>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2"/>
      <c r="AQ28" s="472"/>
      <c r="AR28" s="472"/>
      <c r="AS28" s="1290"/>
      <c r="AT28" s="472"/>
      <c r="AU28" s="472"/>
      <c r="AV28" s="472"/>
      <c r="AW28" s="472"/>
      <c r="AX28" s="472"/>
      <c r="AY28" s="472"/>
      <c r="AZ28" s="472"/>
      <c r="BB28" s="470">
        <f>SUM(E28:AZ28)</f>
        <v>0</v>
      </c>
      <c r="BC28" s="470">
        <f>+BB28+D28</f>
        <v>0</v>
      </c>
      <c r="BD28" s="444"/>
      <c r="BE28" s="173"/>
      <c r="BF28" s="336"/>
    </row>
    <row r="29" spans="1:58" outlineLevel="1" x14ac:dyDescent="0.35">
      <c r="A29" s="336">
        <f t="shared" si="0"/>
        <v>15</v>
      </c>
      <c r="B29" s="464" t="s">
        <v>1</v>
      </c>
      <c r="C29" s="465" t="s">
        <v>892</v>
      </c>
      <c r="D29" s="477">
        <f t="shared" ref="D29:AD29" si="3">SUM(D24:D28)</f>
        <v>710474541.38000011</v>
      </c>
      <c r="E29" s="1310">
        <f t="shared" si="3"/>
        <v>0</v>
      </c>
      <c r="F29" s="479">
        <f t="shared" si="3"/>
        <v>-581461939.38</v>
      </c>
      <c r="G29" s="479">
        <f t="shared" si="3"/>
        <v>0</v>
      </c>
      <c r="H29" s="479">
        <f t="shared" si="3"/>
        <v>0</v>
      </c>
      <c r="I29" s="479">
        <f t="shared" si="3"/>
        <v>0</v>
      </c>
      <c r="J29" s="479">
        <f t="shared" si="3"/>
        <v>0</v>
      </c>
      <c r="K29" s="479">
        <f t="shared" si="3"/>
        <v>0</v>
      </c>
      <c r="L29" s="479">
        <f t="shared" si="3"/>
        <v>0</v>
      </c>
      <c r="M29" s="479">
        <f t="shared" si="3"/>
        <v>0</v>
      </c>
      <c r="N29" s="479">
        <f t="shared" si="3"/>
        <v>0</v>
      </c>
      <c r="O29" s="479">
        <f t="shared" si="3"/>
        <v>0</v>
      </c>
      <c r="P29" s="479">
        <f t="shared" si="3"/>
        <v>0</v>
      </c>
      <c r="Q29" s="479">
        <f t="shared" si="3"/>
        <v>0</v>
      </c>
      <c r="R29" s="479">
        <f t="shared" si="3"/>
        <v>0</v>
      </c>
      <c r="S29" s="479">
        <f t="shared" si="3"/>
        <v>0</v>
      </c>
      <c r="T29" s="479">
        <f t="shared" si="3"/>
        <v>0</v>
      </c>
      <c r="U29" s="479">
        <f t="shared" si="3"/>
        <v>0</v>
      </c>
      <c r="V29" s="479">
        <f t="shared" si="3"/>
        <v>0</v>
      </c>
      <c r="W29" s="479">
        <f t="shared" si="3"/>
        <v>0</v>
      </c>
      <c r="X29" s="479">
        <f t="shared" si="3"/>
        <v>0</v>
      </c>
      <c r="Y29" s="479">
        <f>SUM(Y24:Y28)</f>
        <v>0</v>
      </c>
      <c r="Z29" s="479">
        <f t="shared" si="3"/>
        <v>0</v>
      </c>
      <c r="AA29" s="479">
        <f t="shared" si="3"/>
        <v>0</v>
      </c>
      <c r="AB29" s="479">
        <f t="shared" si="3"/>
        <v>0</v>
      </c>
      <c r="AC29" s="479">
        <f t="shared" si="3"/>
        <v>0</v>
      </c>
      <c r="AD29" s="479">
        <f t="shared" si="3"/>
        <v>0</v>
      </c>
      <c r="AE29" s="479"/>
      <c r="AF29" s="479"/>
      <c r="AG29" s="479"/>
      <c r="AH29" s="479"/>
      <c r="AI29" s="479">
        <f t="shared" ref="AI29:AS29" si="4">SUM(AI24:AI28)</f>
        <v>0</v>
      </c>
      <c r="AJ29" s="479"/>
      <c r="AK29" s="479">
        <f t="shared" ref="AK29:AO29" si="5">SUM(AK24:AK28)</f>
        <v>-129012602</v>
      </c>
      <c r="AL29" s="479">
        <f t="shared" si="5"/>
        <v>0</v>
      </c>
      <c r="AM29" s="479">
        <f t="shared" si="5"/>
        <v>0</v>
      </c>
      <c r="AN29" s="479">
        <f t="shared" si="5"/>
        <v>0</v>
      </c>
      <c r="AO29" s="479">
        <f t="shared" si="5"/>
        <v>0</v>
      </c>
      <c r="AP29" s="479">
        <f t="shared" si="4"/>
        <v>0</v>
      </c>
      <c r="AQ29" s="479">
        <f t="shared" si="4"/>
        <v>0</v>
      </c>
      <c r="AR29" s="479">
        <f t="shared" si="4"/>
        <v>0</v>
      </c>
      <c r="AS29" s="1293">
        <f t="shared" si="4"/>
        <v>0</v>
      </c>
      <c r="AT29" s="479"/>
      <c r="AU29" s="479"/>
      <c r="AV29" s="479"/>
      <c r="AW29" s="479"/>
      <c r="AX29" s="479"/>
      <c r="AY29" s="479"/>
      <c r="AZ29" s="479"/>
      <c r="BB29" s="477">
        <f>SUM(BB24:BB28)</f>
        <v>-710474541.38</v>
      </c>
      <c r="BC29" s="477">
        <f>SUM(BC24:BC28)</f>
        <v>0</v>
      </c>
      <c r="BD29" s="444"/>
      <c r="BE29" s="173"/>
      <c r="BF29" s="336"/>
    </row>
    <row r="30" spans="1:58" outlineLevel="1" x14ac:dyDescent="0.35">
      <c r="A30" s="336">
        <f t="shared" si="0"/>
        <v>16</v>
      </c>
      <c r="B30" s="464"/>
      <c r="C30" s="465" t="s">
        <v>892</v>
      </c>
      <c r="D30" s="476"/>
      <c r="E30" s="1309"/>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292"/>
      <c r="AT30" s="173"/>
      <c r="AU30" s="173"/>
      <c r="AV30" s="173"/>
      <c r="AW30" s="173"/>
      <c r="AX30" s="173"/>
      <c r="AY30" s="173"/>
      <c r="AZ30" s="173"/>
      <c r="BB30" s="476"/>
      <c r="BC30" s="476"/>
      <c r="BD30" s="444"/>
      <c r="BE30" s="173"/>
      <c r="BF30" s="336"/>
    </row>
    <row r="31" spans="1:58" outlineLevel="1" x14ac:dyDescent="0.35">
      <c r="A31" s="336">
        <f t="shared" si="0"/>
        <v>17</v>
      </c>
      <c r="B31" s="480" t="s">
        <v>59</v>
      </c>
      <c r="C31" s="465" t="s">
        <v>892</v>
      </c>
      <c r="D31" s="470">
        <v>7668314.0300000003</v>
      </c>
      <c r="E31" s="1306"/>
      <c r="F31" s="471"/>
      <c r="G31" s="471"/>
      <c r="H31" s="471"/>
      <c r="I31" s="471"/>
      <c r="J31" s="471"/>
      <c r="K31" s="471"/>
      <c r="L31" s="471"/>
      <c r="M31" s="471"/>
      <c r="N31" s="471"/>
      <c r="O31" s="471">
        <f>'Common Adj'!GC18+'Common Adj'!GC17+'Common Adj'!GC19</f>
        <v>-102343.12273683809</v>
      </c>
      <c r="P31" s="471"/>
      <c r="Q31" s="471"/>
      <c r="R31" s="471"/>
      <c r="S31" s="471"/>
      <c r="T31" s="471"/>
      <c r="U31" s="471"/>
      <c r="V31" s="471">
        <f>'Common Adj'!KY17+'Common Adj'!KY18+'Common Adj'!KY19</f>
        <v>285393.51245643897</v>
      </c>
      <c r="W31" s="471"/>
      <c r="X31" s="471"/>
      <c r="Y31" s="471"/>
      <c r="Z31" s="471"/>
      <c r="AA31" s="471"/>
      <c r="AB31" s="471"/>
      <c r="AC31" s="471"/>
      <c r="AD31" s="471"/>
      <c r="AE31" s="471"/>
      <c r="AF31" s="471"/>
      <c r="AG31" s="471"/>
      <c r="AH31" s="471"/>
      <c r="AI31" s="471"/>
      <c r="AJ31" s="471"/>
      <c r="AK31" s="471"/>
      <c r="AL31" s="471"/>
      <c r="AM31" s="471"/>
      <c r="AN31" s="471"/>
      <c r="AO31" s="471"/>
      <c r="AP31" s="173"/>
      <c r="AQ31" s="173"/>
      <c r="AR31" s="173"/>
      <c r="AS31" s="1292"/>
      <c r="AT31" s="173"/>
      <c r="AU31" s="173"/>
      <c r="AV31" s="173"/>
      <c r="AW31" s="173"/>
      <c r="AX31" s="173"/>
      <c r="AY31" s="173"/>
      <c r="AZ31" s="173"/>
      <c r="BB31" s="470">
        <f t="shared" ref="BB31:BB44" si="6">SUM(E31:AZ31)</f>
        <v>183050.38971960088</v>
      </c>
      <c r="BC31" s="476">
        <f t="shared" ref="BC31:BC44" si="7">+BB31+D31</f>
        <v>7851364.4197196011</v>
      </c>
      <c r="BD31" s="444"/>
      <c r="BE31" s="173"/>
      <c r="BF31" s="336"/>
    </row>
    <row r="32" spans="1:58" outlineLevel="1" x14ac:dyDescent="0.35">
      <c r="A32" s="336">
        <f t="shared" si="0"/>
        <v>18</v>
      </c>
      <c r="B32" s="464" t="s">
        <v>60</v>
      </c>
      <c r="C32" s="465" t="s">
        <v>892</v>
      </c>
      <c r="D32" s="470">
        <v>0</v>
      </c>
      <c r="E32" s="1306"/>
      <c r="F32" s="471"/>
      <c r="G32" s="471"/>
      <c r="H32" s="471"/>
      <c r="I32" s="471"/>
      <c r="J32" s="471"/>
      <c r="K32" s="471"/>
      <c r="L32" s="471"/>
      <c r="M32" s="471"/>
      <c r="N32" s="471"/>
      <c r="O32" s="471"/>
      <c r="P32" s="471"/>
      <c r="Q32" s="471"/>
      <c r="R32" s="471"/>
      <c r="S32" s="471"/>
      <c r="T32" s="471"/>
      <c r="U32" s="471"/>
      <c r="V32" s="471">
        <f>+'Common Adj'!KY20</f>
        <v>0</v>
      </c>
      <c r="W32" s="471"/>
      <c r="X32" s="471"/>
      <c r="Y32" s="471"/>
      <c r="Z32" s="471"/>
      <c r="AA32" s="471"/>
      <c r="AB32" s="471"/>
      <c r="AC32" s="471"/>
      <c r="AD32" s="471"/>
      <c r="AE32" s="471"/>
      <c r="AF32" s="471"/>
      <c r="AG32" s="471"/>
      <c r="AH32" s="471"/>
      <c r="AI32" s="471"/>
      <c r="AJ32" s="471"/>
      <c r="AK32" s="471"/>
      <c r="AL32" s="471"/>
      <c r="AM32" s="471"/>
      <c r="AN32" s="471"/>
      <c r="AO32" s="471"/>
      <c r="AP32" s="472"/>
      <c r="AQ32" s="472"/>
      <c r="AR32" s="472"/>
      <c r="AS32" s="1290"/>
      <c r="AT32" s="472"/>
      <c r="AU32" s="472"/>
      <c r="AV32" s="472"/>
      <c r="AW32" s="472"/>
      <c r="AX32" s="472"/>
      <c r="AY32" s="472"/>
      <c r="AZ32" s="472"/>
      <c r="BB32" s="470">
        <f t="shared" si="6"/>
        <v>0</v>
      </c>
      <c r="BC32" s="470">
        <f t="shared" si="7"/>
        <v>0</v>
      </c>
      <c r="BD32" s="444"/>
      <c r="BE32" s="173"/>
      <c r="BF32" s="336"/>
    </row>
    <row r="33" spans="1:58" outlineLevel="1" x14ac:dyDescent="0.35">
      <c r="A33" s="336">
        <f t="shared" si="0"/>
        <v>19</v>
      </c>
      <c r="B33" s="464" t="s">
        <v>61</v>
      </c>
      <c r="C33" s="465" t="s">
        <v>892</v>
      </c>
      <c r="D33" s="470">
        <v>64058520.619999997</v>
      </c>
      <c r="E33" s="1306"/>
      <c r="F33" s="471"/>
      <c r="G33" s="471"/>
      <c r="H33" s="471"/>
      <c r="I33" s="471"/>
      <c r="J33" s="471"/>
      <c r="K33" s="471"/>
      <c r="L33" s="471"/>
      <c r="M33" s="471"/>
      <c r="N33" s="471"/>
      <c r="O33" s="471">
        <f>'Common Adj'!GC21</f>
        <v>-663619.96648559347</v>
      </c>
      <c r="P33" s="471"/>
      <c r="Q33" s="471"/>
      <c r="R33" s="471"/>
      <c r="S33" s="471"/>
      <c r="T33" s="471"/>
      <c r="U33" s="471"/>
      <c r="V33" s="471">
        <f>+'Common Adj'!KY21</f>
        <v>949028.27199034393</v>
      </c>
      <c r="W33" s="471"/>
      <c r="X33" s="471"/>
      <c r="Y33" s="471"/>
      <c r="Z33" s="471"/>
      <c r="AA33" s="471"/>
      <c r="AB33" s="471"/>
      <c r="AC33" s="471"/>
      <c r="AD33" s="471"/>
      <c r="AE33" s="471"/>
      <c r="AF33" s="471"/>
      <c r="AG33" s="471"/>
      <c r="AH33" s="471"/>
      <c r="AI33" s="471"/>
      <c r="AJ33" s="471"/>
      <c r="AK33" s="471"/>
      <c r="AL33" s="471"/>
      <c r="AM33" s="471"/>
      <c r="AN33" s="471"/>
      <c r="AO33" s="471"/>
      <c r="AP33" s="472"/>
      <c r="AQ33" s="472"/>
      <c r="AR33" s="472"/>
      <c r="AS33" s="1290"/>
      <c r="AT33" s="472"/>
      <c r="AU33" s="472"/>
      <c r="AV33" s="472"/>
      <c r="AW33" s="472"/>
      <c r="AX33" s="472"/>
      <c r="AY33" s="472"/>
      <c r="AZ33" s="472"/>
      <c r="BB33" s="470">
        <f t="shared" si="6"/>
        <v>285408.30550475046</v>
      </c>
      <c r="BC33" s="470">
        <f t="shared" si="7"/>
        <v>64343928.925504744</v>
      </c>
      <c r="BD33" s="444"/>
      <c r="BE33" s="173"/>
      <c r="BF33" s="336"/>
    </row>
    <row r="34" spans="1:58" outlineLevel="1" x14ac:dyDescent="0.35">
      <c r="A34" s="336">
        <f t="shared" si="0"/>
        <v>20</v>
      </c>
      <c r="B34" s="464" t="s">
        <v>62</v>
      </c>
      <c r="C34" s="465" t="s">
        <v>892</v>
      </c>
      <c r="D34" s="470">
        <v>25951482.239999998</v>
      </c>
      <c r="E34" s="1306">
        <f>'Common Adj'!E64</f>
        <v>123632.45326100978</v>
      </c>
      <c r="F34" s="471">
        <f>'Common Adj'!W73</f>
        <v>-2072558.6235161237</v>
      </c>
      <c r="G34" s="471">
        <f>'Common Adj'!AO22</f>
        <v>-261.9135279405599</v>
      </c>
      <c r="H34" s="471"/>
      <c r="I34" s="471"/>
      <c r="J34" s="471">
        <f>'Common Adj'!CQ17</f>
        <v>-269672.36803698959</v>
      </c>
      <c r="K34" s="471"/>
      <c r="L34" s="471"/>
      <c r="M34" s="471"/>
      <c r="N34" s="471"/>
      <c r="O34" s="471">
        <f>'Common Adj'!GC22</f>
        <v>-149741.13523320132</v>
      </c>
      <c r="P34" s="471"/>
      <c r="Q34" s="471"/>
      <c r="R34" s="471"/>
      <c r="S34" s="471"/>
      <c r="T34" s="471"/>
      <c r="U34" s="471"/>
      <c r="V34" s="471">
        <f>+'Common Adj'!KY22</f>
        <v>191846.74656400736</v>
      </c>
      <c r="W34" s="471"/>
      <c r="X34" s="471"/>
      <c r="Y34" s="471"/>
      <c r="Z34" s="471"/>
      <c r="AA34" s="471"/>
      <c r="AB34" s="471">
        <f>'Common Adj'!PC41</f>
        <v>-11113.49148042</v>
      </c>
      <c r="AC34" s="471"/>
      <c r="AD34" s="471"/>
      <c r="AE34" s="471"/>
      <c r="AF34" s="471"/>
      <c r="AG34" s="471"/>
      <c r="AH34" s="471"/>
      <c r="AI34" s="471"/>
      <c r="AJ34" s="471"/>
      <c r="AK34" s="471">
        <f>'Common Adj'!UB21</f>
        <v>0</v>
      </c>
      <c r="AL34" s="471"/>
      <c r="AM34" s="471"/>
      <c r="AN34" s="471"/>
      <c r="AO34" s="471"/>
      <c r="AP34" s="472"/>
      <c r="AQ34" s="472"/>
      <c r="AR34" s="472"/>
      <c r="AS34" s="1290"/>
      <c r="AT34" s="472"/>
      <c r="AU34" s="472"/>
      <c r="AV34" s="472"/>
      <c r="AW34" s="472"/>
      <c r="AX34" s="472"/>
      <c r="AY34" s="472"/>
      <c r="AZ34" s="472"/>
      <c r="BB34" s="470">
        <f t="shared" si="6"/>
        <v>-2187868.3319696574</v>
      </c>
      <c r="BC34" s="470">
        <f t="shared" si="7"/>
        <v>23763613.908030342</v>
      </c>
      <c r="BD34" s="444"/>
      <c r="BE34" s="173"/>
      <c r="BF34" s="336"/>
    </row>
    <row r="35" spans="1:58" outlineLevel="1" x14ac:dyDescent="0.35">
      <c r="A35" s="336">
        <f t="shared" si="0"/>
        <v>21</v>
      </c>
      <c r="B35" s="464" t="s">
        <v>63</v>
      </c>
      <c r="C35" s="465" t="s">
        <v>892</v>
      </c>
      <c r="D35" s="470">
        <v>4633246.5</v>
      </c>
      <c r="E35" s="1306"/>
      <c r="F35" s="471">
        <f>'Common Adj'!W74</f>
        <v>-2874088.03</v>
      </c>
      <c r="G35" s="471"/>
      <c r="H35" s="471"/>
      <c r="I35" s="471"/>
      <c r="J35" s="471"/>
      <c r="K35" s="471"/>
      <c r="L35" s="471"/>
      <c r="M35" s="471"/>
      <c r="N35" s="471"/>
      <c r="O35" s="471">
        <f>'Common Adj'!GC23+'Common Adj'!GC24</f>
        <v>-22685.764463297979</v>
      </c>
      <c r="P35" s="471"/>
      <c r="Q35" s="471">
        <f>'Common Adj'!HM16</f>
        <v>30503.742766919091</v>
      </c>
      <c r="R35" s="471">
        <f>'Common Adj'!IE18</f>
        <v>550639.31938240037</v>
      </c>
      <c r="S35" s="471"/>
      <c r="T35" s="471"/>
      <c r="U35" s="471"/>
      <c r="V35" s="471">
        <f>+'Common Adj'!KY23</f>
        <v>78515.927254621871</v>
      </c>
      <c r="W35" s="471"/>
      <c r="X35" s="471"/>
      <c r="Y35" s="471"/>
      <c r="Z35" s="471"/>
      <c r="AA35" s="471"/>
      <c r="AB35" s="471"/>
      <c r="AC35" s="471"/>
      <c r="AD35" s="471"/>
      <c r="AE35" s="471"/>
      <c r="AF35" s="471"/>
      <c r="AG35" s="471"/>
      <c r="AH35" s="471"/>
      <c r="AI35" s="471"/>
      <c r="AJ35" s="471"/>
      <c r="AK35" s="471"/>
      <c r="AL35" s="471"/>
      <c r="AM35" s="471"/>
      <c r="AN35" s="471"/>
      <c r="AO35" s="471"/>
      <c r="AP35" s="472"/>
      <c r="AQ35" s="472"/>
      <c r="AR35" s="472"/>
      <c r="AS35" s="1290"/>
      <c r="AT35" s="472"/>
      <c r="AU35" s="472"/>
      <c r="AV35" s="472"/>
      <c r="AW35" s="472"/>
      <c r="AX35" s="472"/>
      <c r="AY35" s="472"/>
      <c r="AZ35" s="472"/>
      <c r="BB35" s="470">
        <f t="shared" si="6"/>
        <v>-2237114.8050593566</v>
      </c>
      <c r="BC35" s="470">
        <f t="shared" si="7"/>
        <v>2396131.6949406434</v>
      </c>
      <c r="BD35" s="444"/>
      <c r="BE35" s="173"/>
      <c r="BF35" s="336"/>
    </row>
    <row r="36" spans="1:58" outlineLevel="1" x14ac:dyDescent="0.35">
      <c r="A36" s="336">
        <f t="shared" si="0"/>
        <v>22</v>
      </c>
      <c r="B36" s="464" t="s">
        <v>64</v>
      </c>
      <c r="C36" s="465" t="s">
        <v>892</v>
      </c>
      <c r="D36" s="470">
        <v>22395680.359999999</v>
      </c>
      <c r="E36" s="1306"/>
      <c r="F36" s="471">
        <f>'Common Adj'!W75</f>
        <v>-22395680.359999999</v>
      </c>
      <c r="G36" s="471"/>
      <c r="H36" s="471"/>
      <c r="I36" s="471"/>
      <c r="J36" s="471"/>
      <c r="K36" s="471"/>
      <c r="L36" s="471"/>
      <c r="M36" s="471"/>
      <c r="N36" s="471"/>
      <c r="O36" s="471"/>
      <c r="P36" s="471"/>
      <c r="Q36" s="471"/>
      <c r="R36" s="471"/>
      <c r="S36" s="471"/>
      <c r="T36" s="471"/>
      <c r="U36" s="471"/>
      <c r="V36" s="471">
        <f>+'Common Adj'!KY24</f>
        <v>0</v>
      </c>
      <c r="W36" s="471"/>
      <c r="X36" s="471"/>
      <c r="Y36" s="471"/>
      <c r="Z36" s="471"/>
      <c r="AA36" s="471"/>
      <c r="AB36" s="471"/>
      <c r="AC36" s="471"/>
      <c r="AD36" s="471"/>
      <c r="AE36" s="471"/>
      <c r="AF36" s="471"/>
      <c r="AG36" s="471"/>
      <c r="AH36" s="471"/>
      <c r="AI36" s="471"/>
      <c r="AJ36" s="471"/>
      <c r="AK36" s="471"/>
      <c r="AL36" s="471"/>
      <c r="AM36" s="471"/>
      <c r="AN36" s="471"/>
      <c r="AO36" s="471"/>
      <c r="AP36" s="472"/>
      <c r="AQ36" s="472"/>
      <c r="AR36" s="472"/>
      <c r="AS36" s="1290"/>
      <c r="AT36" s="472"/>
      <c r="AU36" s="472"/>
      <c r="AV36" s="472"/>
      <c r="AW36" s="472"/>
      <c r="AX36" s="471"/>
      <c r="AY36" s="472"/>
      <c r="AZ36" s="472"/>
      <c r="BB36" s="470">
        <f t="shared" si="6"/>
        <v>-22395680.359999999</v>
      </c>
      <c r="BC36" s="470">
        <f t="shared" si="7"/>
        <v>0</v>
      </c>
      <c r="BD36" s="444"/>
      <c r="BE36" s="173"/>
      <c r="BF36" s="336"/>
    </row>
    <row r="37" spans="1:58" outlineLevel="1" x14ac:dyDescent="0.35">
      <c r="A37" s="336">
        <f t="shared" si="0"/>
        <v>23</v>
      </c>
      <c r="B37" s="464" t="s">
        <v>65</v>
      </c>
      <c r="C37" s="465" t="s">
        <v>892</v>
      </c>
      <c r="D37" s="470">
        <v>73412663.579999998</v>
      </c>
      <c r="E37" s="1306">
        <f>'Common Adj'!E65</f>
        <v>171058.39261295024</v>
      </c>
      <c r="F37" s="471">
        <f>'Common Adj'!W76</f>
        <v>-2892962.261060012</v>
      </c>
      <c r="G37" s="471">
        <f>'Common Adj'!AO23</f>
        <v>-362.38468065106872</v>
      </c>
      <c r="H37" s="471"/>
      <c r="I37" s="471"/>
      <c r="J37" s="471"/>
      <c r="K37" s="471">
        <f>'Common Adj'!DI19</f>
        <v>232169.01142999995</v>
      </c>
      <c r="L37" s="471"/>
      <c r="M37" s="471">
        <f>'Common Adj'!ES23</f>
        <v>-17289.176081915386</v>
      </c>
      <c r="N37" s="471">
        <f>'Common Adj'!FK20</f>
        <v>-24042.600429258582</v>
      </c>
      <c r="O37" s="471">
        <f>'Common Adj'!GC25</f>
        <v>-347581.16605476255</v>
      </c>
      <c r="P37" s="471">
        <f>'Common Adj'!GU32</f>
        <v>191286.54157686234</v>
      </c>
      <c r="Q37" s="471"/>
      <c r="R37" s="471"/>
      <c r="S37" s="471"/>
      <c r="T37" s="471">
        <f>'Common Adj'!JO20</f>
        <v>-16580.372792206952</v>
      </c>
      <c r="U37" s="471">
        <f>'Common Adj'!KG17</f>
        <v>1414165.1287299758</v>
      </c>
      <c r="V37" s="471">
        <f>+'Common Adj'!KY25</f>
        <v>2036434.6902016662</v>
      </c>
      <c r="W37" s="471"/>
      <c r="X37" s="471"/>
      <c r="Y37" s="471">
        <f>'Common Adj'!NA20</f>
        <v>-18253.489559999667</v>
      </c>
      <c r="Z37" s="471"/>
      <c r="AA37" s="471"/>
      <c r="AB37" s="471">
        <f>'Common Adj'!PC42</f>
        <v>-15376.674480000001</v>
      </c>
      <c r="AC37" s="471"/>
      <c r="AD37" s="471"/>
      <c r="AE37" s="471"/>
      <c r="AF37" s="471"/>
      <c r="AG37" s="471"/>
      <c r="AH37" s="471"/>
      <c r="AI37" s="471"/>
      <c r="AJ37" s="471"/>
      <c r="AK37" s="471">
        <f>'Common Adj'!UB22</f>
        <v>0</v>
      </c>
      <c r="AL37" s="471"/>
      <c r="AM37" s="471">
        <f>'Common Adj'!TI18</f>
        <v>-87457</v>
      </c>
      <c r="AN37" s="471"/>
      <c r="AO37" s="471"/>
      <c r="AP37" s="472"/>
      <c r="AQ37" s="472"/>
      <c r="AR37" s="472"/>
      <c r="AS37" s="1290"/>
      <c r="AT37" s="472"/>
      <c r="AU37" s="472"/>
      <c r="AV37" s="472"/>
      <c r="AW37" s="472"/>
      <c r="AX37" s="471"/>
      <c r="AY37" s="472"/>
      <c r="AZ37" s="472"/>
      <c r="BB37" s="470">
        <f t="shared" si="6"/>
        <v>625208.63941264804</v>
      </c>
      <c r="BC37" s="470">
        <f t="shared" si="7"/>
        <v>74037872.21941264</v>
      </c>
      <c r="BD37" s="444"/>
      <c r="BE37" s="173"/>
      <c r="BF37" s="336"/>
    </row>
    <row r="38" spans="1:58" outlineLevel="1" x14ac:dyDescent="0.35">
      <c r="A38" s="336">
        <f t="shared" si="0"/>
        <v>24</v>
      </c>
      <c r="B38" s="464" t="s">
        <v>66</v>
      </c>
      <c r="C38" s="465" t="s">
        <v>892</v>
      </c>
      <c r="D38" s="470">
        <v>164838105.41999999</v>
      </c>
      <c r="E38" s="1306"/>
      <c r="F38" s="471"/>
      <c r="G38" s="471"/>
      <c r="H38" s="471"/>
      <c r="I38" s="471"/>
      <c r="J38" s="471"/>
      <c r="K38" s="471"/>
      <c r="L38" s="471"/>
      <c r="M38" s="471"/>
      <c r="N38" s="471"/>
      <c r="O38" s="471"/>
      <c r="P38" s="471"/>
      <c r="Q38" s="471"/>
      <c r="R38" s="471"/>
      <c r="S38" s="471"/>
      <c r="T38" s="471"/>
      <c r="U38" s="471"/>
      <c r="V38" s="471"/>
      <c r="W38" s="471"/>
      <c r="X38" s="471">
        <f>'Common Adj'!MI16+'Common Adj'!MI17+'Common Adj'!MI21+'Common Adj'!MI22</f>
        <v>12682496.739731345</v>
      </c>
      <c r="Y38" s="471"/>
      <c r="Z38" s="471"/>
      <c r="AA38" s="471">
        <f>'Common Adj'!OK32</f>
        <v>0</v>
      </c>
      <c r="AB38" s="471"/>
      <c r="AC38" s="471"/>
      <c r="AD38" s="471"/>
      <c r="AE38" s="471"/>
      <c r="AF38" s="471">
        <f>'Common Adj'!RX16+'Common Adj'!RX17</f>
        <v>0</v>
      </c>
      <c r="AG38" s="471"/>
      <c r="AH38" s="471"/>
      <c r="AI38" s="471"/>
      <c r="AJ38" s="471"/>
      <c r="AK38" s="471"/>
      <c r="AL38" s="471"/>
      <c r="AM38" s="471"/>
      <c r="AN38" s="471"/>
      <c r="AO38" s="471"/>
      <c r="AP38" s="173"/>
      <c r="AQ38" s="173"/>
      <c r="AR38" s="173">
        <f>'Gas Adj'!CQ25</f>
        <v>-689507.20602600183</v>
      </c>
      <c r="AS38" s="1290"/>
      <c r="AT38" s="173"/>
      <c r="AU38" s="173"/>
      <c r="AV38" s="173"/>
      <c r="AW38" s="173"/>
      <c r="AX38" s="420"/>
      <c r="AY38" s="173"/>
      <c r="AZ38" s="173"/>
      <c r="BB38" s="470">
        <f t="shared" si="6"/>
        <v>11992989.533705343</v>
      </c>
      <c r="BC38" s="470">
        <f t="shared" si="7"/>
        <v>176831094.95370534</v>
      </c>
      <c r="BD38" s="444"/>
      <c r="BE38" s="173"/>
      <c r="BF38" s="336"/>
    </row>
    <row r="39" spans="1:58" outlineLevel="1" x14ac:dyDescent="0.35">
      <c r="A39" s="336">
        <f t="shared" si="0"/>
        <v>25</v>
      </c>
      <c r="B39" s="464" t="s">
        <v>67</v>
      </c>
      <c r="C39" s="465" t="s">
        <v>892</v>
      </c>
      <c r="D39" s="470">
        <v>29349151.43</v>
      </c>
      <c r="E39" s="1306"/>
      <c r="F39" s="471"/>
      <c r="G39" s="471"/>
      <c r="H39" s="471"/>
      <c r="I39" s="471"/>
      <c r="J39" s="471"/>
      <c r="K39" s="471"/>
      <c r="L39" s="471"/>
      <c r="M39" s="471"/>
      <c r="N39" s="471"/>
      <c r="O39" s="471"/>
      <c r="P39" s="471"/>
      <c r="Q39" s="471"/>
      <c r="R39" s="471"/>
      <c r="S39" s="471"/>
      <c r="T39" s="471"/>
      <c r="U39" s="471"/>
      <c r="V39" s="471"/>
      <c r="W39" s="471"/>
      <c r="X39" s="471">
        <f>'Common Adj'!MI18+'Common Adj'!MI19+'Common Adj'!MI23+'Common Adj'!MI24</f>
        <v>-4044078.1971255038</v>
      </c>
      <c r="Y39" s="471"/>
      <c r="Z39" s="471"/>
      <c r="AA39" s="471"/>
      <c r="AB39" s="471"/>
      <c r="AC39" s="471"/>
      <c r="AD39" s="471"/>
      <c r="AE39" s="471"/>
      <c r="AF39" s="471">
        <f>'Common Adj'!RX18+'Common Adj'!RX19</f>
        <v>0</v>
      </c>
      <c r="AG39" s="471"/>
      <c r="AH39" s="471"/>
      <c r="AI39" s="471"/>
      <c r="AJ39" s="471"/>
      <c r="AK39" s="471"/>
      <c r="AL39" s="471"/>
      <c r="AM39" s="471"/>
      <c r="AN39" s="471"/>
      <c r="AO39" s="471"/>
      <c r="AP39" s="472"/>
      <c r="AQ39" s="472"/>
      <c r="AR39" s="472">
        <f>'Gas Adj'!CQ26</f>
        <v>-149248.62199999983</v>
      </c>
      <c r="AS39" s="1290"/>
      <c r="AT39" s="472"/>
      <c r="AU39" s="472"/>
      <c r="AV39" s="472"/>
      <c r="AW39" s="472"/>
      <c r="AX39" s="471"/>
      <c r="AY39" s="472"/>
      <c r="AZ39" s="472"/>
      <c r="BB39" s="470">
        <f t="shared" si="6"/>
        <v>-4193326.8191255038</v>
      </c>
      <c r="BC39" s="470">
        <f t="shared" si="7"/>
        <v>25155824.610874496</v>
      </c>
      <c r="BD39" s="444"/>
      <c r="BE39" s="173"/>
      <c r="BF39" s="336"/>
    </row>
    <row r="40" spans="1:58" outlineLevel="1" x14ac:dyDescent="0.35">
      <c r="A40" s="336">
        <f t="shared" si="0"/>
        <v>26</v>
      </c>
      <c r="B40" s="480" t="s">
        <v>68</v>
      </c>
      <c r="C40" s="465" t="s">
        <v>892</v>
      </c>
      <c r="D40" s="470">
        <v>0</v>
      </c>
      <c r="E40" s="1306"/>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2"/>
      <c r="AQ40" s="472"/>
      <c r="AR40" s="472"/>
      <c r="AS40" s="1290"/>
      <c r="AT40" s="472"/>
      <c r="AU40" s="472"/>
      <c r="AV40" s="472"/>
      <c r="AW40" s="472"/>
      <c r="AX40" s="471"/>
      <c r="AY40" s="472"/>
      <c r="AZ40" s="472"/>
      <c r="BB40" s="470">
        <f t="shared" si="6"/>
        <v>0</v>
      </c>
      <c r="BC40" s="470">
        <f t="shared" si="7"/>
        <v>0</v>
      </c>
      <c r="BD40" s="444"/>
      <c r="BE40" s="173"/>
      <c r="BF40" s="336"/>
    </row>
    <row r="41" spans="1:58" outlineLevel="1" x14ac:dyDescent="0.35">
      <c r="A41" s="336">
        <f t="shared" si="0"/>
        <v>27</v>
      </c>
      <c r="B41" s="464" t="s">
        <v>69</v>
      </c>
      <c r="C41" s="465" t="s">
        <v>892</v>
      </c>
      <c r="D41" s="470">
        <v>-124060557.32999998</v>
      </c>
      <c r="E41" s="1306"/>
      <c r="F41" s="471"/>
      <c r="G41" s="471"/>
      <c r="H41" s="471"/>
      <c r="I41" s="471"/>
      <c r="J41" s="471"/>
      <c r="K41" s="471"/>
      <c r="L41" s="471"/>
      <c r="M41" s="471"/>
      <c r="N41" s="471"/>
      <c r="O41" s="471"/>
      <c r="P41" s="471"/>
      <c r="Q41" s="471"/>
      <c r="R41" s="471"/>
      <c r="S41" s="471">
        <f>'Common Adj'!IW18</f>
        <v>984867.936666667</v>
      </c>
      <c r="T41" s="471"/>
      <c r="U41" s="471"/>
      <c r="V41" s="471"/>
      <c r="W41" s="471"/>
      <c r="X41" s="471"/>
      <c r="Y41" s="471"/>
      <c r="Z41" s="471"/>
      <c r="AA41" s="471"/>
      <c r="AB41" s="471"/>
      <c r="AC41" s="471">
        <f>'Common Adj'!PU17</f>
        <v>338867.23404892068</v>
      </c>
      <c r="AD41" s="471"/>
      <c r="AE41" s="471"/>
      <c r="AF41" s="471"/>
      <c r="AG41" s="471"/>
      <c r="AH41" s="471"/>
      <c r="AI41" s="471"/>
      <c r="AJ41" s="471"/>
      <c r="AK41" s="471">
        <f>'Common Adj'!UB34-'Common Adj'!UB32</f>
        <v>131168189.513</v>
      </c>
      <c r="AL41" s="471">
        <f>'Common Adj'!UU24</f>
        <v>1614927.4900000002</v>
      </c>
      <c r="AM41" s="471"/>
      <c r="AN41" s="471">
        <f>'Common Adj'!VN17</f>
        <v>0</v>
      </c>
      <c r="AO41" s="471"/>
      <c r="AP41" s="472">
        <f>'Gas Adj'!BG38</f>
        <v>0</v>
      </c>
      <c r="AQ41" s="472">
        <f>'Gas Adj'!BY44</f>
        <v>0</v>
      </c>
      <c r="AR41" s="472"/>
      <c r="AS41" s="1290"/>
      <c r="AT41" s="472"/>
      <c r="AU41" s="472"/>
      <c r="AV41" s="472"/>
      <c r="AW41" s="472"/>
      <c r="AX41" s="471"/>
      <c r="AY41" s="472"/>
      <c r="AZ41" s="472"/>
      <c r="BB41" s="470">
        <f t="shared" si="6"/>
        <v>134106852.17371558</v>
      </c>
      <c r="BC41" s="470">
        <f t="shared" si="7"/>
        <v>10046294.843715593</v>
      </c>
      <c r="BD41" s="444"/>
      <c r="BE41" s="173"/>
      <c r="BF41" s="336"/>
    </row>
    <row r="42" spans="1:58" outlineLevel="1" x14ac:dyDescent="0.35">
      <c r="A42" s="336">
        <f t="shared" si="0"/>
        <v>28</v>
      </c>
      <c r="B42" s="464" t="s">
        <v>70</v>
      </c>
      <c r="C42" s="465" t="s">
        <v>892</v>
      </c>
      <c r="D42" s="470">
        <v>136186547.91999999</v>
      </c>
      <c r="E42" s="1306">
        <f>'Common Adj'!E66</f>
        <v>1642545.4504677013</v>
      </c>
      <c r="F42" s="471">
        <f>'Common Adj'!W77</f>
        <v>-107544614.3024285</v>
      </c>
      <c r="G42" s="471">
        <f>'Common Adj'!AO24</f>
        <v>-3479.7082997817242</v>
      </c>
      <c r="H42" s="471"/>
      <c r="I42" s="472"/>
      <c r="J42" s="471"/>
      <c r="K42" s="471"/>
      <c r="L42" s="471">
        <f>'Common Adj'!EA19</f>
        <v>858.74887999892235</v>
      </c>
      <c r="M42" s="471"/>
      <c r="N42" s="471"/>
      <c r="O42" s="471">
        <f>'Common Adj'!GC28</f>
        <v>-113036.86452218764</v>
      </c>
      <c r="P42" s="471"/>
      <c r="Q42" s="471"/>
      <c r="R42" s="471"/>
      <c r="S42" s="471"/>
      <c r="T42" s="471"/>
      <c r="U42" s="471"/>
      <c r="V42" s="471">
        <f>+'Common Adj'!KY28</f>
        <v>161103.54499382243</v>
      </c>
      <c r="W42" s="471"/>
      <c r="X42" s="471"/>
      <c r="Y42" s="471"/>
      <c r="Z42" s="471"/>
      <c r="AA42" s="471"/>
      <c r="AB42" s="471">
        <f>'Common Adj'!PC43</f>
        <v>-147650.67252558001</v>
      </c>
      <c r="AC42" s="471"/>
      <c r="AD42" s="471"/>
      <c r="AE42" s="471"/>
      <c r="AF42" s="471"/>
      <c r="AG42" s="471"/>
      <c r="AH42" s="471"/>
      <c r="AI42" s="471"/>
      <c r="AJ42" s="471"/>
      <c r="AK42" s="471">
        <f>'Common Adj'!UB23</f>
        <v>0</v>
      </c>
      <c r="AL42" s="471"/>
      <c r="AM42" s="471"/>
      <c r="AN42" s="471"/>
      <c r="AO42" s="471"/>
      <c r="AP42" s="472"/>
      <c r="AQ42" s="472"/>
      <c r="AR42" s="472"/>
      <c r="AS42" s="1290"/>
      <c r="AT42" s="472"/>
      <c r="AU42" s="472"/>
      <c r="AV42" s="472"/>
      <c r="AW42" s="472"/>
      <c r="AX42" s="471"/>
      <c r="AY42" s="472"/>
      <c r="AZ42" s="472"/>
      <c r="BB42" s="470">
        <f t="shared" si="6"/>
        <v>-106004273.80343454</v>
      </c>
      <c r="BC42" s="470">
        <f t="shared" si="7"/>
        <v>30182274.116565451</v>
      </c>
      <c r="BD42" s="444"/>
      <c r="BE42" s="173"/>
      <c r="BF42" s="336"/>
    </row>
    <row r="43" spans="1:58" outlineLevel="1" x14ac:dyDescent="0.35">
      <c r="A43" s="336">
        <f t="shared" si="0"/>
        <v>29</v>
      </c>
      <c r="B43" s="464" t="s">
        <v>71</v>
      </c>
      <c r="C43" s="465" t="s">
        <v>892</v>
      </c>
      <c r="D43" s="470">
        <v>45229648.609999999</v>
      </c>
      <c r="E43" s="1306">
        <f>'Common Adj'!E70</f>
        <v>8573745.9899481367</v>
      </c>
      <c r="F43" s="471">
        <f>'Common Adj'!W78</f>
        <v>554084.2790043425</v>
      </c>
      <c r="G43" s="471">
        <f>'Common Adj'!AO29</f>
        <v>-18163.3543674227</v>
      </c>
      <c r="H43" s="471">
        <f>+'Common Adj'!BG16</f>
        <v>1966089.9118269086</v>
      </c>
      <c r="I43" s="471">
        <f>+'Common Adj'!BY23</f>
        <v>-16074542.57656165</v>
      </c>
      <c r="J43" s="471">
        <f>'Common Adj'!CQ19</f>
        <v>56631.197287767813</v>
      </c>
      <c r="K43" s="471">
        <f>'Common Adj'!DI21</f>
        <v>-48755.492400299991</v>
      </c>
      <c r="L43" s="471">
        <f>'Common Adj'!EA20</f>
        <v>-180.33726479977369</v>
      </c>
      <c r="M43" s="471">
        <f>'Common Adj'!ES25</f>
        <v>3630.726977202231</v>
      </c>
      <c r="N43" s="471">
        <f>'Common Adj'!FK21</f>
        <v>5048.9460901443017</v>
      </c>
      <c r="O43" s="471">
        <f>'Common Adj'!GC31</f>
        <v>293791.68409413501</v>
      </c>
      <c r="P43" s="471">
        <f>'Common Adj'!GU34</f>
        <v>-40170.173731141091</v>
      </c>
      <c r="Q43" s="471"/>
      <c r="R43" s="471">
        <f>'Common Adj'!IE20</f>
        <v>-115634.25707030407</v>
      </c>
      <c r="S43" s="471">
        <f>'Common Adj'!IW21</f>
        <v>-206822.26670000007</v>
      </c>
      <c r="T43" s="471">
        <f>'Common Adj'!JO22</f>
        <v>3481.8782863634588</v>
      </c>
      <c r="U43" s="471">
        <f>'Common Adj'!KG19</f>
        <v>-296974.67703329492</v>
      </c>
      <c r="V43" s="471">
        <f>+'Common Adj'!KY32</f>
        <v>-777487.76562678919</v>
      </c>
      <c r="W43" s="471"/>
      <c r="X43" s="471">
        <f>'Common Adj'!MI29</f>
        <v>-1814067.8939472267</v>
      </c>
      <c r="Y43" s="471">
        <f>'Common Adj'!NA21</f>
        <v>3833.2328075999299</v>
      </c>
      <c r="Z43" s="471"/>
      <c r="AA43" s="471">
        <f>'Common Adj'!OK34</f>
        <v>0</v>
      </c>
      <c r="AB43" s="471">
        <f>+'Common Adj'!PC52</f>
        <v>-770705.83411794004</v>
      </c>
      <c r="AC43" s="471">
        <f>'Common Adj'!PU20</f>
        <v>-71162.119150273342</v>
      </c>
      <c r="AD43" s="471"/>
      <c r="AE43" s="471"/>
      <c r="AF43" s="471">
        <f>'Common Adj'!RX28</f>
        <v>0</v>
      </c>
      <c r="AG43" s="471"/>
      <c r="AH43" s="471"/>
      <c r="AI43" s="471"/>
      <c r="AJ43" s="471"/>
      <c r="AK43" s="471">
        <f>'Common Adj'!UB37</f>
        <v>-452673.37772999925</v>
      </c>
      <c r="AL43" s="471">
        <f>'Common Adj'!UU26</f>
        <v>-339134.77290000004</v>
      </c>
      <c r="AM43" s="471">
        <f>'Common Adj'!TI23</f>
        <v>18365.969999999998</v>
      </c>
      <c r="AN43" s="471">
        <f>'Common Adj'!VN31</f>
        <v>0</v>
      </c>
      <c r="AO43" s="471"/>
      <c r="AP43" s="481">
        <f>'Gas Adj'!BG48</f>
        <v>0</v>
      </c>
      <c r="AQ43" s="481">
        <f>'Gas Adj'!BY46</f>
        <v>0</v>
      </c>
      <c r="AR43" s="481">
        <f>'Gas Adj'!CQ29</f>
        <v>176138.72388546035</v>
      </c>
      <c r="AS43" s="1290"/>
      <c r="AT43" s="481"/>
      <c r="AU43" s="481"/>
      <c r="AV43" s="481"/>
      <c r="AW43" s="481"/>
      <c r="AX43" s="415"/>
      <c r="AY43" s="481"/>
      <c r="AZ43" s="481"/>
      <c r="BB43" s="470">
        <f t="shared" si="6"/>
        <v>-9371632.3583930787</v>
      </c>
      <c r="BC43" s="470">
        <f t="shared" si="7"/>
        <v>35858016.251606919</v>
      </c>
      <c r="BD43" s="444"/>
      <c r="BE43" s="173"/>
      <c r="BF43" s="336"/>
    </row>
    <row r="44" spans="1:58" outlineLevel="1" x14ac:dyDescent="0.35">
      <c r="A44" s="336">
        <f t="shared" si="0"/>
        <v>30</v>
      </c>
      <c r="B44" s="329" t="s">
        <v>72</v>
      </c>
      <c r="C44" s="465" t="s">
        <v>892</v>
      </c>
      <c r="D44" s="470">
        <v>-7579228.4499999881</v>
      </c>
      <c r="E44" s="1306"/>
      <c r="F44" s="471"/>
      <c r="G44" s="471"/>
      <c r="H44" s="471">
        <v>425511.86349998927</v>
      </c>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2"/>
      <c r="AQ44" s="472"/>
      <c r="AR44" s="472"/>
      <c r="AS44" s="1290"/>
      <c r="AT44" s="472"/>
      <c r="AU44" s="472"/>
      <c r="AV44" s="472"/>
      <c r="AW44" s="472"/>
      <c r="AX44" s="471"/>
      <c r="AY44" s="472"/>
      <c r="AZ44" s="472"/>
      <c r="BB44" s="470">
        <f t="shared" si="6"/>
        <v>425511.86349998927</v>
      </c>
      <c r="BC44" s="470">
        <f t="shared" si="7"/>
        <v>-7153716.5864999983</v>
      </c>
      <c r="BD44" s="444"/>
      <c r="BE44" s="173"/>
      <c r="BF44" s="336"/>
    </row>
    <row r="45" spans="1:58" outlineLevel="1" x14ac:dyDescent="0.35">
      <c r="A45" s="336">
        <f t="shared" si="0"/>
        <v>31</v>
      </c>
      <c r="B45" s="464" t="s">
        <v>2</v>
      </c>
      <c r="C45" s="465" t="s">
        <v>892</v>
      </c>
      <c r="D45" s="477">
        <f t="shared" ref="D45:AI45" si="8">SUM(D29:D44)</f>
        <v>1152558116.3100002</v>
      </c>
      <c r="E45" s="1310">
        <f t="shared" si="8"/>
        <v>10510982.286289798</v>
      </c>
      <c r="F45" s="479">
        <f t="shared" si="8"/>
        <v>-718687758.67800021</v>
      </c>
      <c r="G45" s="479">
        <f t="shared" si="8"/>
        <v>-22267.360875796054</v>
      </c>
      <c r="H45" s="479">
        <f t="shared" si="8"/>
        <v>2391601.7753268979</v>
      </c>
      <c r="I45" s="479">
        <f t="shared" si="8"/>
        <v>-16074542.57656165</v>
      </c>
      <c r="J45" s="479">
        <f t="shared" si="8"/>
        <v>-213041.17074922178</v>
      </c>
      <c r="K45" s="479">
        <f t="shared" si="8"/>
        <v>183413.51902969996</v>
      </c>
      <c r="L45" s="479">
        <f t="shared" si="8"/>
        <v>678.41161519914863</v>
      </c>
      <c r="M45" s="479">
        <f t="shared" si="8"/>
        <v>-13658.449104713156</v>
      </c>
      <c r="N45" s="479">
        <f t="shared" si="8"/>
        <v>-18993.65433911428</v>
      </c>
      <c r="O45" s="479">
        <f t="shared" si="8"/>
        <v>-1105216.3354017462</v>
      </c>
      <c r="P45" s="479">
        <f t="shared" si="8"/>
        <v>151116.36784572125</v>
      </c>
      <c r="Q45" s="479">
        <f t="shared" si="8"/>
        <v>30503.742766919091</v>
      </c>
      <c r="R45" s="479">
        <f t="shared" si="8"/>
        <v>435005.0623120963</v>
      </c>
      <c r="S45" s="479">
        <f t="shared" si="8"/>
        <v>778045.66996666696</v>
      </c>
      <c r="T45" s="479">
        <f t="shared" si="8"/>
        <v>-13098.494505843493</v>
      </c>
      <c r="U45" s="479">
        <f t="shared" si="8"/>
        <v>1117190.4516966809</v>
      </c>
      <c r="V45" s="479">
        <f t="shared" si="8"/>
        <v>2924834.9278341117</v>
      </c>
      <c r="W45" s="479">
        <f t="shared" si="8"/>
        <v>0</v>
      </c>
      <c r="X45" s="479">
        <f t="shared" si="8"/>
        <v>6824350.6486586146</v>
      </c>
      <c r="Y45" s="479">
        <f>SUM(Y29:Y44)</f>
        <v>-14420.256752399737</v>
      </c>
      <c r="Z45" s="479">
        <f t="shared" si="8"/>
        <v>0</v>
      </c>
      <c r="AA45" s="479">
        <f t="shared" si="8"/>
        <v>0</v>
      </c>
      <c r="AB45" s="479">
        <f t="shared" si="8"/>
        <v>-944846.67260394013</v>
      </c>
      <c r="AC45" s="479">
        <f t="shared" ref="AC45:AD45" si="9">SUM(AC40:AC44)</f>
        <v>267705.11489864736</v>
      </c>
      <c r="AD45" s="479">
        <f t="shared" si="9"/>
        <v>0</v>
      </c>
      <c r="AE45" s="479"/>
      <c r="AF45" s="479">
        <f t="shared" ref="AF45" si="10">SUM(AF29:AF44)</f>
        <v>0</v>
      </c>
      <c r="AG45" s="479"/>
      <c r="AH45" s="479"/>
      <c r="AI45" s="479">
        <f t="shared" si="8"/>
        <v>0</v>
      </c>
      <c r="AJ45" s="479"/>
      <c r="AK45" s="479">
        <f t="shared" ref="AK45:BC45" si="11">SUM(AK29:AK44)</f>
        <v>1702914.1352699972</v>
      </c>
      <c r="AL45" s="479">
        <f t="shared" si="11"/>
        <v>1275792.7171000002</v>
      </c>
      <c r="AM45" s="479">
        <f t="shared" si="11"/>
        <v>-69091.03</v>
      </c>
      <c r="AN45" s="479">
        <f t="shared" si="11"/>
        <v>0</v>
      </c>
      <c r="AO45" s="479">
        <f t="shared" si="11"/>
        <v>0</v>
      </c>
      <c r="AP45" s="479">
        <f t="shared" si="11"/>
        <v>0</v>
      </c>
      <c r="AQ45" s="479">
        <f t="shared" si="11"/>
        <v>0</v>
      </c>
      <c r="AR45" s="479">
        <f t="shared" si="11"/>
        <v>-662617.10414054128</v>
      </c>
      <c r="AS45" s="1293">
        <f t="shared" si="11"/>
        <v>0</v>
      </c>
      <c r="AT45" s="479"/>
      <c r="AU45" s="479"/>
      <c r="AV45" s="479"/>
      <c r="AW45" s="479"/>
      <c r="AX45" s="478"/>
      <c r="AY45" s="479"/>
      <c r="AZ45" s="479"/>
      <c r="BB45" s="477">
        <f t="shared" si="11"/>
        <v>-709245416.95242405</v>
      </c>
      <c r="BC45" s="477">
        <f t="shared" si="11"/>
        <v>443312699.35757583</v>
      </c>
      <c r="BD45" s="444"/>
      <c r="BE45" s="173"/>
      <c r="BF45" s="336"/>
    </row>
    <row r="46" spans="1:58" outlineLevel="1" x14ac:dyDescent="0.35">
      <c r="A46" s="336">
        <f t="shared" si="0"/>
        <v>32</v>
      </c>
      <c r="C46" s="465" t="s">
        <v>892</v>
      </c>
      <c r="D46" s="482"/>
      <c r="E46" s="1311"/>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1294"/>
      <c r="AT46" s="483"/>
      <c r="AU46" s="483"/>
      <c r="AV46" s="483"/>
      <c r="AW46" s="483"/>
      <c r="AX46" s="363"/>
      <c r="AY46" s="483"/>
      <c r="AZ46" s="483"/>
      <c r="BB46" s="482"/>
      <c r="BC46" s="482"/>
      <c r="BD46" s="444"/>
      <c r="BE46" s="173"/>
      <c r="BF46" s="336"/>
    </row>
    <row r="47" spans="1:58" ht="15" outlineLevel="1" thickBot="1" x14ac:dyDescent="0.4">
      <c r="A47" s="336">
        <f t="shared" si="0"/>
        <v>33</v>
      </c>
      <c r="B47" s="329" t="s">
        <v>4</v>
      </c>
      <c r="C47" s="465" t="s">
        <v>892</v>
      </c>
      <c r="D47" s="484">
        <f t="shared" ref="D47:AI47" si="12">+D20-D45</f>
        <v>182074206.58999991</v>
      </c>
      <c r="E47" s="1312">
        <f t="shared" si="12"/>
        <v>32253615.866947763</v>
      </c>
      <c r="F47" s="486">
        <f t="shared" si="12"/>
        <v>2084412.2876831293</v>
      </c>
      <c r="G47" s="486">
        <f>+G20-G45</f>
        <v>-68328.809286971111</v>
      </c>
      <c r="H47" s="486">
        <f t="shared" si="12"/>
        <v>-2391601.7753268979</v>
      </c>
      <c r="I47" s="486">
        <f t="shared" si="12"/>
        <v>16074542.57656165</v>
      </c>
      <c r="J47" s="486">
        <f t="shared" si="12"/>
        <v>213041.17074922178</v>
      </c>
      <c r="K47" s="486">
        <f t="shared" si="12"/>
        <v>-183413.51902969996</v>
      </c>
      <c r="L47" s="486">
        <f t="shared" si="12"/>
        <v>-678.41161519914863</v>
      </c>
      <c r="M47" s="486">
        <f t="shared" si="12"/>
        <v>13658.449104713156</v>
      </c>
      <c r="N47" s="486">
        <f t="shared" si="12"/>
        <v>18993.65433911428</v>
      </c>
      <c r="O47" s="486">
        <f t="shared" si="12"/>
        <v>1105216.3354017462</v>
      </c>
      <c r="P47" s="486">
        <f t="shared" si="12"/>
        <v>-151116.36784572125</v>
      </c>
      <c r="Q47" s="486">
        <f t="shared" si="12"/>
        <v>-30503.742766919091</v>
      </c>
      <c r="R47" s="486">
        <f t="shared" si="12"/>
        <v>-435005.0623120963</v>
      </c>
      <c r="S47" s="486">
        <f t="shared" si="12"/>
        <v>-778045.66996666696</v>
      </c>
      <c r="T47" s="486">
        <f t="shared" si="12"/>
        <v>13098.494505843493</v>
      </c>
      <c r="U47" s="486">
        <f t="shared" si="12"/>
        <v>-1117190.4516966809</v>
      </c>
      <c r="V47" s="486">
        <f t="shared" si="12"/>
        <v>-2924834.9278341117</v>
      </c>
      <c r="W47" s="486">
        <f t="shared" si="12"/>
        <v>0</v>
      </c>
      <c r="X47" s="486">
        <f t="shared" si="12"/>
        <v>-6824350.6486586146</v>
      </c>
      <c r="Y47" s="486">
        <f>+Y20-Y45</f>
        <v>14420.256752399737</v>
      </c>
      <c r="Z47" s="486">
        <f t="shared" si="12"/>
        <v>0</v>
      </c>
      <c r="AA47" s="486">
        <f t="shared" si="12"/>
        <v>0</v>
      </c>
      <c r="AB47" s="486">
        <f t="shared" si="12"/>
        <v>-2899321.94739606</v>
      </c>
      <c r="AC47" s="486">
        <f t="shared" si="12"/>
        <v>-267705.11489864736</v>
      </c>
      <c r="AD47" s="486">
        <f t="shared" si="12"/>
        <v>0</v>
      </c>
      <c r="AE47" s="486"/>
      <c r="AF47" s="486">
        <f t="shared" ref="AF47" si="13">+AF20-AF45</f>
        <v>0</v>
      </c>
      <c r="AG47" s="486"/>
      <c r="AH47" s="486"/>
      <c r="AI47" s="486">
        <f t="shared" si="12"/>
        <v>0</v>
      </c>
      <c r="AJ47" s="486"/>
      <c r="AK47" s="486">
        <f t="shared" ref="AK47:BC47" si="14">+AK20-AK45</f>
        <v>-1702914.1352699972</v>
      </c>
      <c r="AL47" s="486">
        <f t="shared" si="14"/>
        <v>-1275792.7171000002</v>
      </c>
      <c r="AM47" s="486">
        <f t="shared" si="14"/>
        <v>69091.03</v>
      </c>
      <c r="AN47" s="486">
        <f t="shared" si="14"/>
        <v>0</v>
      </c>
      <c r="AO47" s="486">
        <f t="shared" si="14"/>
        <v>0</v>
      </c>
      <c r="AP47" s="486">
        <f t="shared" si="14"/>
        <v>0</v>
      </c>
      <c r="AQ47" s="486">
        <f t="shared" si="14"/>
        <v>0</v>
      </c>
      <c r="AR47" s="486">
        <f t="shared" si="14"/>
        <v>662617.10414054128</v>
      </c>
      <c r="AS47" s="1295">
        <f t="shared" si="14"/>
        <v>0</v>
      </c>
      <c r="AT47" s="486"/>
      <c r="AU47" s="486"/>
      <c r="AV47" s="486"/>
      <c r="AW47" s="486"/>
      <c r="AX47" s="485"/>
      <c r="AY47" s="486"/>
      <c r="AZ47" s="486"/>
      <c r="BB47" s="484">
        <f t="shared" si="14"/>
        <v>31471903.925181746</v>
      </c>
      <c r="BC47" s="484">
        <f t="shared" si="14"/>
        <v>213546110.51518196</v>
      </c>
      <c r="BD47" s="444"/>
      <c r="BE47" s="173"/>
      <c r="BF47" s="336"/>
    </row>
    <row r="48" spans="1:58" ht="15" outlineLevel="1" thickTop="1" x14ac:dyDescent="0.35">
      <c r="A48" s="336">
        <f t="shared" si="0"/>
        <v>34</v>
      </c>
      <c r="B48"/>
      <c r="C48" s="465" t="s">
        <v>892</v>
      </c>
      <c r="D48" s="219"/>
      <c r="E48" s="1313"/>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296"/>
      <c r="AT48" s="116"/>
      <c r="AU48" s="116"/>
      <c r="AV48" s="116"/>
      <c r="AW48" s="116"/>
      <c r="AX48" s="416"/>
      <c r="AY48" s="116"/>
      <c r="AZ48" s="116"/>
      <c r="BB48" s="219"/>
      <c r="BC48" s="219"/>
      <c r="BD48" s="444"/>
      <c r="BE48" s="173"/>
      <c r="BF48" s="336"/>
    </row>
    <row r="49" spans="1:58" s="265" customFormat="1" ht="14" outlineLevel="1" x14ac:dyDescent="0.3">
      <c r="A49" s="336">
        <f t="shared" si="0"/>
        <v>35</v>
      </c>
      <c r="B49" s="464" t="s">
        <v>124</v>
      </c>
      <c r="C49" s="465" t="s">
        <v>892</v>
      </c>
      <c r="D49" s="476">
        <f t="shared" ref="D49:AD49" si="15">D60</f>
        <v>2948894387.0453196</v>
      </c>
      <c r="E49" s="1309">
        <f t="shared" si="15"/>
        <v>0</v>
      </c>
      <c r="F49" s="173">
        <f t="shared" si="15"/>
        <v>0</v>
      </c>
      <c r="G49" s="173">
        <f t="shared" si="15"/>
        <v>0</v>
      </c>
      <c r="H49" s="173">
        <f t="shared" si="15"/>
        <v>0</v>
      </c>
      <c r="I49" s="173">
        <f t="shared" si="15"/>
        <v>0</v>
      </c>
      <c r="J49" s="173">
        <f t="shared" si="15"/>
        <v>0</v>
      </c>
      <c r="K49" s="173">
        <f t="shared" si="15"/>
        <v>0</v>
      </c>
      <c r="L49" s="173">
        <f t="shared" si="15"/>
        <v>0</v>
      </c>
      <c r="M49" s="173">
        <f t="shared" si="15"/>
        <v>0</v>
      </c>
      <c r="N49" s="173">
        <f t="shared" si="15"/>
        <v>0</v>
      </c>
      <c r="O49" s="173">
        <f t="shared" si="15"/>
        <v>0</v>
      </c>
      <c r="P49" s="173">
        <f t="shared" si="15"/>
        <v>0</v>
      </c>
      <c r="Q49" s="173">
        <f t="shared" si="15"/>
        <v>0</v>
      </c>
      <c r="R49" s="173">
        <f t="shared" si="15"/>
        <v>0</v>
      </c>
      <c r="S49" s="173">
        <f t="shared" si="15"/>
        <v>0</v>
      </c>
      <c r="T49" s="173">
        <f t="shared" si="15"/>
        <v>0</v>
      </c>
      <c r="U49" s="173">
        <f t="shared" si="15"/>
        <v>0</v>
      </c>
      <c r="V49" s="173">
        <f t="shared" si="15"/>
        <v>0</v>
      </c>
      <c r="W49" s="173">
        <f t="shared" si="15"/>
        <v>50455434.08198075</v>
      </c>
      <c r="X49" s="173">
        <f t="shared" si="15"/>
        <v>-6824350.6486586146</v>
      </c>
      <c r="Y49" s="173">
        <f>Y60</f>
        <v>0</v>
      </c>
      <c r="Z49" s="173">
        <f t="shared" si="15"/>
        <v>0</v>
      </c>
      <c r="AA49" s="173">
        <f t="shared" si="15"/>
        <v>0</v>
      </c>
      <c r="AB49" s="173">
        <f t="shared" si="15"/>
        <v>-57834387.276298791</v>
      </c>
      <c r="AC49" s="173">
        <f t="shared" si="15"/>
        <v>0</v>
      </c>
      <c r="AD49" s="173">
        <f t="shared" si="15"/>
        <v>0</v>
      </c>
      <c r="AE49" s="173"/>
      <c r="AF49" s="173">
        <f>AF60</f>
        <v>0</v>
      </c>
      <c r="AG49" s="173"/>
      <c r="AH49" s="173"/>
      <c r="AI49" s="173"/>
      <c r="AJ49" s="173"/>
      <c r="AK49" s="173"/>
      <c r="AL49" s="173">
        <f>AL60</f>
        <v>0</v>
      </c>
      <c r="AM49" s="173">
        <f t="shared" ref="AM49:AN49" si="16">AM60</f>
        <v>0</v>
      </c>
      <c r="AN49" s="173">
        <f t="shared" si="16"/>
        <v>0</v>
      </c>
      <c r="AO49" s="173"/>
      <c r="AP49" s="173">
        <f>AP60</f>
        <v>0</v>
      </c>
      <c r="AQ49" s="173"/>
      <c r="AR49" s="173">
        <f>AR60</f>
        <v>-24218047.431628965</v>
      </c>
      <c r="AS49" s="1292"/>
      <c r="AT49" s="173"/>
      <c r="AU49" s="173"/>
      <c r="AV49" s="173"/>
      <c r="AW49" s="173"/>
      <c r="AX49" s="420"/>
      <c r="AY49" s="173"/>
      <c r="AZ49" s="173"/>
      <c r="BB49" s="476">
        <f>BB60</f>
        <v>-38421351.274605609</v>
      </c>
      <c r="BC49" s="476">
        <f>BC60</f>
        <v>2910473035.7707138</v>
      </c>
      <c r="BD49" s="444"/>
      <c r="BE49" s="173"/>
      <c r="BF49" s="336"/>
    </row>
    <row r="50" spans="1:58" outlineLevel="1" x14ac:dyDescent="0.35">
      <c r="A50" s="336">
        <f t="shared" si="0"/>
        <v>36</v>
      </c>
      <c r="C50" s="465" t="s">
        <v>892</v>
      </c>
      <c r="D50" s="466"/>
      <c r="E50" s="1308"/>
      <c r="G50"/>
      <c r="H50"/>
      <c r="I50"/>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1297"/>
      <c r="AT50" s="487"/>
      <c r="AU50" s="487"/>
      <c r="AV50" s="487"/>
      <c r="AW50" s="487"/>
      <c r="AX50" s="341"/>
      <c r="BB50" s="466"/>
      <c r="BC50" s="466"/>
      <c r="BD50" s="444"/>
      <c r="BE50" s="173"/>
      <c r="BF50" s="336"/>
    </row>
    <row r="51" spans="1:58" outlineLevel="1" x14ac:dyDescent="0.35">
      <c r="A51" s="336">
        <f t="shared" si="0"/>
        <v>37</v>
      </c>
      <c r="B51" s="464" t="s">
        <v>125</v>
      </c>
      <c r="C51" s="465" t="s">
        <v>892</v>
      </c>
      <c r="D51" s="488">
        <f>+D47/D49</f>
        <v>6.1743210401112865E-2</v>
      </c>
      <c r="E51" s="1306"/>
      <c r="F51" s="472"/>
      <c r="G51"/>
      <c r="H51"/>
      <c r="I51"/>
      <c r="J51" s="46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1298"/>
      <c r="AT51" s="489"/>
      <c r="AU51" s="489"/>
      <c r="AV51" s="489"/>
      <c r="AW51" s="489"/>
      <c r="AX51" s="471"/>
      <c r="AY51" s="472"/>
      <c r="AZ51" s="472"/>
      <c r="BB51" s="488"/>
      <c r="BC51" s="488">
        <f>+BC47/BC49</f>
        <v>7.3371616191123187E-2</v>
      </c>
      <c r="BD51" s="444"/>
      <c r="BE51" s="173"/>
      <c r="BF51" s="336"/>
    </row>
    <row r="52" spans="1:58" outlineLevel="1" x14ac:dyDescent="0.35">
      <c r="A52" s="336">
        <f t="shared" si="0"/>
        <v>38</v>
      </c>
      <c r="C52" s="465" t="s">
        <v>892</v>
      </c>
      <c r="D52" s="470"/>
      <c r="E52" s="1306"/>
      <c r="F52" s="472"/>
      <c r="G52"/>
      <c r="H52"/>
      <c r="I5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1290"/>
      <c r="AT52" s="472"/>
      <c r="AU52" s="472"/>
      <c r="AV52" s="472"/>
      <c r="AW52" s="472"/>
      <c r="AX52" s="471"/>
      <c r="AY52" s="472"/>
      <c r="AZ52" s="472"/>
      <c r="BB52" s="470"/>
      <c r="BC52" s="470"/>
      <c r="BD52" s="444"/>
      <c r="BE52" s="173"/>
      <c r="BF52" s="336"/>
    </row>
    <row r="53" spans="1:58" outlineLevel="1" x14ac:dyDescent="0.35">
      <c r="A53" s="336">
        <f t="shared" si="0"/>
        <v>39</v>
      </c>
      <c r="B53" s="329" t="s">
        <v>126</v>
      </c>
      <c r="C53" s="465" t="s">
        <v>892</v>
      </c>
      <c r="D53" s="470"/>
      <c r="E53" s="1306"/>
      <c r="F53" s="472"/>
      <c r="G53"/>
      <c r="H53"/>
      <c r="I53"/>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1290"/>
      <c r="AT53" s="472"/>
      <c r="AU53" s="472"/>
      <c r="AV53" s="472"/>
      <c r="AW53" s="472"/>
      <c r="AX53" s="471"/>
      <c r="AY53" s="472"/>
      <c r="AZ53" s="472"/>
      <c r="BB53" s="470"/>
      <c r="BC53" s="470"/>
      <c r="BD53" s="444"/>
      <c r="BE53" s="173"/>
      <c r="BF53" s="336"/>
    </row>
    <row r="54" spans="1:58" outlineLevel="1" x14ac:dyDescent="0.35">
      <c r="A54" s="336">
        <f t="shared" si="0"/>
        <v>40</v>
      </c>
      <c r="B54" s="490" t="s">
        <v>20</v>
      </c>
      <c r="C54" s="465" t="s">
        <v>892</v>
      </c>
      <c r="D54" s="476">
        <v>5489997433.7842302</v>
      </c>
      <c r="E54" s="1306"/>
      <c r="F54" s="173"/>
      <c r="G54" s="173"/>
      <c r="H54" s="173"/>
      <c r="I54" s="173"/>
      <c r="J54" s="173"/>
      <c r="K54" s="173"/>
      <c r="L54" s="173"/>
      <c r="M54" s="173"/>
      <c r="N54" s="173"/>
      <c r="O54" s="173"/>
      <c r="P54" s="173"/>
      <c r="Q54" s="173"/>
      <c r="R54" s="173"/>
      <c r="S54" s="173"/>
      <c r="T54" s="173"/>
      <c r="U54" s="173"/>
      <c r="V54" s="173"/>
      <c r="W54" s="471">
        <f>'Common Adj'!LQ16</f>
        <v>89690639.215544701</v>
      </c>
      <c r="X54" s="471"/>
      <c r="Y54" s="471"/>
      <c r="Z54" s="471"/>
      <c r="AA54" s="471">
        <f>'Common Adj'!OK18</f>
        <v>0</v>
      </c>
      <c r="AB54" s="471">
        <f>+'Common Adj'!PC21</f>
        <v>-75215094.712953344</v>
      </c>
      <c r="AC54" s="173"/>
      <c r="AD54" s="173"/>
      <c r="AE54" s="173"/>
      <c r="AF54" s="173"/>
      <c r="AG54" s="173"/>
      <c r="AH54" s="173"/>
      <c r="AI54" s="173"/>
      <c r="AJ54" s="173"/>
      <c r="AK54" s="173"/>
      <c r="AL54" s="173"/>
      <c r="AM54" s="173"/>
      <c r="AN54" s="173"/>
      <c r="AO54" s="173"/>
      <c r="AP54" s="173">
        <f>'Gas Adj'!BG19</f>
        <v>0</v>
      </c>
      <c r="AQ54" s="173"/>
      <c r="AR54" s="173">
        <f>'Gas Adj'!CQ18</f>
        <v>-30085058.84</v>
      </c>
      <c r="AS54" s="1292"/>
      <c r="AT54" s="173"/>
      <c r="AU54" s="173"/>
      <c r="AV54" s="173"/>
      <c r="AW54" s="173"/>
      <c r="AX54" s="420"/>
      <c r="AY54" s="173"/>
      <c r="AZ54" s="173"/>
      <c r="BB54" s="476">
        <f t="shared" ref="BB54:BB59" si="17">SUM(E54:AZ54)</f>
        <v>-15609514.337408643</v>
      </c>
      <c r="BC54" s="476">
        <f t="shared" ref="BC54:BC59" si="18">+BB54+D54</f>
        <v>5474387919.4468212</v>
      </c>
      <c r="BD54" s="444"/>
      <c r="BE54" s="173"/>
      <c r="BF54" s="336"/>
    </row>
    <row r="55" spans="1:58" outlineLevel="1" x14ac:dyDescent="0.35">
      <c r="A55" s="336">
        <f t="shared" si="0"/>
        <v>41</v>
      </c>
      <c r="B55" s="490" t="s">
        <v>21</v>
      </c>
      <c r="C55" s="465" t="s">
        <v>892</v>
      </c>
      <c r="D55" s="470">
        <v>-2082138429.1273692</v>
      </c>
      <c r="E55" s="1306"/>
      <c r="F55" s="481"/>
      <c r="G55" s="481"/>
      <c r="H55" s="481"/>
      <c r="I55" s="481"/>
      <c r="J55" s="481"/>
      <c r="K55" s="481"/>
      <c r="L55" s="481"/>
      <c r="M55" s="481"/>
      <c r="N55" s="481"/>
      <c r="O55" s="481"/>
      <c r="P55" s="481"/>
      <c r="Q55" s="481"/>
      <c r="R55" s="481"/>
      <c r="S55" s="481"/>
      <c r="T55" s="481"/>
      <c r="U55" s="481"/>
      <c r="V55" s="481"/>
      <c r="W55" s="471">
        <f>'Common Adj'!LQ17</f>
        <v>-37040806.652540684</v>
      </c>
      <c r="X55" s="481">
        <f>'Common Adj'!MI34</f>
        <v>-8638418.5426058415</v>
      </c>
      <c r="Y55" s="481"/>
      <c r="Z55" s="481"/>
      <c r="AA55" s="481">
        <f>'Common Adj'!OK19</f>
        <v>0</v>
      </c>
      <c r="AB55" s="481">
        <f>+'Common Adj'!PC27</f>
        <v>9233476.6029253639</v>
      </c>
      <c r="AC55" s="481"/>
      <c r="AD55" s="481"/>
      <c r="AE55" s="481"/>
      <c r="AF55" s="481">
        <f>'Common Adj'!RX33</f>
        <v>0</v>
      </c>
      <c r="AG55" s="481"/>
      <c r="AH55" s="481"/>
      <c r="AI55" s="481"/>
      <c r="AJ55" s="481"/>
      <c r="AK55" s="481"/>
      <c r="AL55" s="481"/>
      <c r="AM55" s="481"/>
      <c r="AN55" s="481"/>
      <c r="AO55" s="481"/>
      <c r="AP55" s="173">
        <f>'Gas Adj'!BG20</f>
        <v>0</v>
      </c>
      <c r="AQ55" s="481"/>
      <c r="AR55" s="481">
        <f>'Gas Adj'!CQ19+'Gas Adj'!CQ20</f>
        <v>4426961.4667480709</v>
      </c>
      <c r="AS55" s="1299"/>
      <c r="AT55" s="481"/>
      <c r="AU55" s="481"/>
      <c r="AV55" s="481"/>
      <c r="AW55" s="481"/>
      <c r="AX55" s="415"/>
      <c r="AY55" s="481"/>
      <c r="AZ55" s="481"/>
      <c r="BB55" s="470">
        <f t="shared" si="17"/>
        <v>-32018787.125473086</v>
      </c>
      <c r="BC55" s="470">
        <f t="shared" si="18"/>
        <v>-2114157216.2528422</v>
      </c>
      <c r="BD55" s="444"/>
      <c r="BE55" s="173"/>
      <c r="BF55" s="336"/>
    </row>
    <row r="56" spans="1:58" outlineLevel="1" x14ac:dyDescent="0.35">
      <c r="A56" s="336">
        <f t="shared" si="0"/>
        <v>42</v>
      </c>
      <c r="B56" s="329" t="s">
        <v>127</v>
      </c>
      <c r="C56" s="465" t="s">
        <v>892</v>
      </c>
      <c r="D56" s="470">
        <v>18088017.405854166</v>
      </c>
      <c r="E56" s="1306"/>
      <c r="F56" s="481"/>
      <c r="G56" s="481"/>
      <c r="H56" s="481"/>
      <c r="I56" s="481"/>
      <c r="J56" s="481"/>
      <c r="K56" s="481"/>
      <c r="L56" s="481"/>
      <c r="M56" s="481"/>
      <c r="N56" s="481"/>
      <c r="O56" s="481"/>
      <c r="P56" s="481"/>
      <c r="Q56" s="481"/>
      <c r="R56" s="481"/>
      <c r="S56" s="481"/>
      <c r="T56" s="481"/>
      <c r="U56" s="481"/>
      <c r="V56" s="481"/>
      <c r="W56" s="471">
        <f>'Common Adj'!LQ18</f>
        <v>-1424002.515854165</v>
      </c>
      <c r="X56" s="481"/>
      <c r="Y56" s="481"/>
      <c r="Z56" s="481"/>
      <c r="AA56" s="481"/>
      <c r="AB56" s="481"/>
      <c r="AC56" s="481"/>
      <c r="AD56" s="481"/>
      <c r="AE56" s="481"/>
      <c r="AF56" s="481"/>
      <c r="AG56" s="481"/>
      <c r="AH56" s="481"/>
      <c r="AI56" s="481"/>
      <c r="AJ56" s="481"/>
      <c r="AK56" s="481"/>
      <c r="AL56" s="481">
        <f>'Common Adj'!UU17</f>
        <v>0</v>
      </c>
      <c r="AM56" s="481"/>
      <c r="AN56" s="481"/>
      <c r="AO56" s="481"/>
      <c r="AP56" s="173">
        <f>'Gas Adj'!BG25+'Gas Adj'!BG26</f>
        <v>0</v>
      </c>
      <c r="AQ56" s="481">
        <f>'Gas Adj'!BY25</f>
        <v>0</v>
      </c>
      <c r="AR56" s="481"/>
      <c r="AS56" s="1299"/>
      <c r="AT56" s="481"/>
      <c r="AU56" s="481"/>
      <c r="AV56" s="481"/>
      <c r="AW56" s="481"/>
      <c r="AX56" s="415"/>
      <c r="AY56" s="481"/>
      <c r="AZ56" s="481"/>
      <c r="BB56" s="470">
        <f t="shared" si="17"/>
        <v>-1424002.515854165</v>
      </c>
      <c r="BC56" s="470">
        <f t="shared" si="18"/>
        <v>16664014.890000001</v>
      </c>
      <c r="BD56" s="444"/>
      <c r="BE56" s="173"/>
      <c r="BF56" s="336"/>
    </row>
    <row r="57" spans="1:58" outlineLevel="1" x14ac:dyDescent="0.35">
      <c r="A57" s="336">
        <f t="shared" si="0"/>
        <v>43</v>
      </c>
      <c r="B57" s="329" t="s">
        <v>128</v>
      </c>
      <c r="C57" s="465" t="s">
        <v>892</v>
      </c>
      <c r="D57" s="470">
        <v>-602543825.29567158</v>
      </c>
      <c r="E57" s="1306"/>
      <c r="F57" s="481"/>
      <c r="G57" s="481"/>
      <c r="H57" s="481"/>
      <c r="I57" s="481"/>
      <c r="J57" s="481"/>
      <c r="K57" s="481"/>
      <c r="L57" s="481"/>
      <c r="M57" s="481"/>
      <c r="N57" s="481"/>
      <c r="O57" s="481"/>
      <c r="P57" s="481"/>
      <c r="Q57" s="481"/>
      <c r="R57" s="481"/>
      <c r="S57" s="481"/>
      <c r="T57" s="481"/>
      <c r="U57" s="481"/>
      <c r="V57" s="481"/>
      <c r="W57" s="471">
        <f>'Common Adj'!LQ19</f>
        <v>6893324.6005116701</v>
      </c>
      <c r="X57" s="481">
        <f>'Common Adj'!MI35</f>
        <v>1814067.8939472267</v>
      </c>
      <c r="Y57" s="481"/>
      <c r="Z57" s="481"/>
      <c r="AA57" s="481">
        <f>'Common Adj'!OK20</f>
        <v>0</v>
      </c>
      <c r="AB57" s="481">
        <f>+'Common Adj'!PC33</f>
        <v>8147230.8337291926</v>
      </c>
      <c r="AC57" s="481"/>
      <c r="AD57" s="481"/>
      <c r="AE57" s="481"/>
      <c r="AF57" s="481">
        <f>'Common Adj'!RX34</f>
        <v>0</v>
      </c>
      <c r="AG57" s="481"/>
      <c r="AH57" s="481"/>
      <c r="AI57" s="347"/>
      <c r="AJ57" s="347"/>
      <c r="AK57" s="347"/>
      <c r="AL57" s="265">
        <f>'Common Adj'!UU18</f>
        <v>0</v>
      </c>
      <c r="AM57" s="347"/>
      <c r="AN57" s="347"/>
      <c r="AO57" s="347"/>
      <c r="AP57" s="173">
        <f>'Gas Adj'!BG21+'Gas Adj'!BG29+'Gas Adj'!BG30</f>
        <v>0</v>
      </c>
      <c r="AQ57" s="265">
        <f>'Gas Adj'!BY26</f>
        <v>0</v>
      </c>
      <c r="AR57" s="347">
        <f>'Gas Adj'!CQ21</f>
        <v>1440049.9416229667</v>
      </c>
      <c r="AS57" s="1300"/>
      <c r="AT57" s="265"/>
      <c r="AU57" s="347"/>
      <c r="AV57" s="347"/>
      <c r="AW57" s="347"/>
      <c r="AX57" s="337"/>
      <c r="AY57" s="347"/>
      <c r="AZ57" s="347"/>
      <c r="BB57" s="470">
        <f t="shared" si="17"/>
        <v>18294673.269811057</v>
      </c>
      <c r="BC57" s="470">
        <f t="shared" si="18"/>
        <v>-584249152.02586055</v>
      </c>
      <c r="BD57" s="444"/>
      <c r="BE57" s="173"/>
      <c r="BF57" s="336"/>
    </row>
    <row r="58" spans="1:58" outlineLevel="1" x14ac:dyDescent="0.35">
      <c r="A58" s="336">
        <f t="shared" si="0"/>
        <v>44</v>
      </c>
      <c r="B58" s="329" t="s">
        <v>129</v>
      </c>
      <c r="C58" s="465" t="s">
        <v>892</v>
      </c>
      <c r="D58" s="491">
        <v>127273380.60826026</v>
      </c>
      <c r="E58" s="1306"/>
      <c r="F58" s="481"/>
      <c r="G58" s="481"/>
      <c r="H58" s="481"/>
      <c r="I58" s="481"/>
      <c r="J58" s="481"/>
      <c r="K58" s="481"/>
      <c r="L58" s="481"/>
      <c r="M58" s="481"/>
      <c r="N58" s="481"/>
      <c r="O58" s="481"/>
      <c r="P58" s="481"/>
      <c r="Q58" s="481"/>
      <c r="R58" s="481"/>
      <c r="S58" s="481"/>
      <c r="T58" s="481"/>
      <c r="U58" s="481"/>
      <c r="V58" s="481"/>
      <c r="W58" s="471">
        <f>'Common Adj'!LQ20</f>
        <v>-8245213.3162603527</v>
      </c>
      <c r="X58" s="481"/>
      <c r="Y58" s="481"/>
      <c r="Z58" s="481"/>
      <c r="AA58" s="481"/>
      <c r="AB58" s="481"/>
      <c r="AC58" s="481"/>
      <c r="AD58" s="481"/>
      <c r="AE58" s="481"/>
      <c r="AF58" s="481"/>
      <c r="AG58" s="481"/>
      <c r="AH58" s="481"/>
      <c r="AI58" s="481"/>
      <c r="AJ58" s="481"/>
      <c r="AK58" s="481"/>
      <c r="AL58" s="481"/>
      <c r="AM58" s="481"/>
      <c r="AN58" s="481"/>
      <c r="AO58" s="481"/>
      <c r="AP58" s="173"/>
      <c r="AQ58" s="481"/>
      <c r="AR58" s="481"/>
      <c r="AS58" s="1299"/>
      <c r="AT58" s="481"/>
      <c r="AU58" s="481"/>
      <c r="AV58" s="481"/>
      <c r="AW58" s="481"/>
      <c r="AX58" s="481"/>
      <c r="AY58" s="481"/>
      <c r="AZ58" s="481"/>
      <c r="BB58" s="470">
        <f t="shared" si="17"/>
        <v>-8245213.3162603527</v>
      </c>
      <c r="BC58" s="470">
        <f t="shared" si="18"/>
        <v>119028167.29199991</v>
      </c>
      <c r="BD58" s="444"/>
      <c r="BE58" s="173"/>
      <c r="BF58" s="336"/>
    </row>
    <row r="59" spans="1:58" outlineLevel="1" x14ac:dyDescent="0.35">
      <c r="A59" s="336">
        <f t="shared" si="0"/>
        <v>45</v>
      </c>
      <c r="B59" s="329" t="s">
        <v>130</v>
      </c>
      <c r="C59" s="465" t="s">
        <v>892</v>
      </c>
      <c r="D59" s="470">
        <v>-1782190.3299845832</v>
      </c>
      <c r="E59" s="1306"/>
      <c r="F59" s="481"/>
      <c r="G59" s="481"/>
      <c r="H59" s="481"/>
      <c r="I59" s="481"/>
      <c r="J59" s="481"/>
      <c r="K59" s="481"/>
      <c r="L59" s="481"/>
      <c r="M59" s="481"/>
      <c r="N59" s="481"/>
      <c r="O59" s="481"/>
      <c r="P59" s="481"/>
      <c r="Q59" s="481"/>
      <c r="R59" s="481"/>
      <c r="S59" s="481"/>
      <c r="T59" s="481"/>
      <c r="U59" s="481"/>
      <c r="V59" s="481"/>
      <c r="W59" s="471">
        <f>'Common Adj'!LQ21</f>
        <v>581492.75057958323</v>
      </c>
      <c r="X59" s="481"/>
      <c r="Y59" s="481"/>
      <c r="Z59" s="481"/>
      <c r="AA59" s="481"/>
      <c r="AB59" s="481"/>
      <c r="AC59" s="481"/>
      <c r="AD59" s="481"/>
      <c r="AE59" s="481"/>
      <c r="AF59" s="481"/>
      <c r="AG59" s="481"/>
      <c r="AH59" s="481"/>
      <c r="AI59" s="481"/>
      <c r="AJ59" s="481"/>
      <c r="AK59" s="481"/>
      <c r="AL59" s="481"/>
      <c r="AM59" s="481"/>
      <c r="AN59" s="481"/>
      <c r="AO59" s="481"/>
      <c r="AP59" s="173"/>
      <c r="AQ59" s="481"/>
      <c r="AR59" s="481"/>
      <c r="AS59" s="1299"/>
      <c r="AT59" s="481"/>
      <c r="AU59" s="481"/>
      <c r="AV59" s="481"/>
      <c r="AW59" s="481"/>
      <c r="AX59" s="481"/>
      <c r="AY59" s="481"/>
      <c r="AZ59" s="481"/>
      <c r="BB59" s="470">
        <f t="shared" si="17"/>
        <v>581492.75057958323</v>
      </c>
      <c r="BC59" s="470">
        <f t="shared" si="18"/>
        <v>-1200697.579405</v>
      </c>
      <c r="BD59" s="444"/>
      <c r="BE59" s="173"/>
      <c r="BF59" s="336"/>
    </row>
    <row r="60" spans="1:58" ht="15" outlineLevel="1" thickBot="1" x14ac:dyDescent="0.4">
      <c r="A60" s="336">
        <f t="shared" si="0"/>
        <v>46</v>
      </c>
      <c r="B60" s="329" t="s">
        <v>22</v>
      </c>
      <c r="C60" s="465" t="s">
        <v>892</v>
      </c>
      <c r="D60" s="493">
        <f t="shared" ref="D60:BC60" si="19">SUM(D54:D59)</f>
        <v>2948894387.0453196</v>
      </c>
      <c r="E60" s="1301">
        <f t="shared" si="19"/>
        <v>0</v>
      </c>
      <c r="F60" s="494">
        <f t="shared" si="19"/>
        <v>0</v>
      </c>
      <c r="G60" s="494">
        <f t="shared" si="19"/>
        <v>0</v>
      </c>
      <c r="H60" s="494">
        <f t="shared" si="19"/>
        <v>0</v>
      </c>
      <c r="I60" s="494">
        <f t="shared" si="19"/>
        <v>0</v>
      </c>
      <c r="J60" s="494">
        <f t="shared" si="19"/>
        <v>0</v>
      </c>
      <c r="K60" s="494">
        <f t="shared" si="19"/>
        <v>0</v>
      </c>
      <c r="L60" s="494">
        <f t="shared" si="19"/>
        <v>0</v>
      </c>
      <c r="M60" s="494">
        <f t="shared" si="19"/>
        <v>0</v>
      </c>
      <c r="N60" s="494">
        <f t="shared" si="19"/>
        <v>0</v>
      </c>
      <c r="O60" s="494">
        <f t="shared" si="19"/>
        <v>0</v>
      </c>
      <c r="P60" s="494">
        <f t="shared" si="19"/>
        <v>0</v>
      </c>
      <c r="Q60" s="494">
        <f t="shared" si="19"/>
        <v>0</v>
      </c>
      <c r="R60" s="494">
        <f t="shared" si="19"/>
        <v>0</v>
      </c>
      <c r="S60" s="494">
        <f t="shared" si="19"/>
        <v>0</v>
      </c>
      <c r="T60" s="494">
        <f t="shared" si="19"/>
        <v>0</v>
      </c>
      <c r="U60" s="494">
        <f t="shared" si="19"/>
        <v>0</v>
      </c>
      <c r="V60" s="494">
        <f t="shared" si="19"/>
        <v>0</v>
      </c>
      <c r="W60" s="494">
        <f t="shared" si="19"/>
        <v>50455434.08198075</v>
      </c>
      <c r="X60" s="494">
        <f t="shared" si="19"/>
        <v>-6824350.6486586146</v>
      </c>
      <c r="Y60" s="494">
        <f>SUM(Y54:Y59)</f>
        <v>0</v>
      </c>
      <c r="Z60" s="494">
        <f t="shared" si="19"/>
        <v>0</v>
      </c>
      <c r="AA60" s="494">
        <f t="shared" si="19"/>
        <v>0</v>
      </c>
      <c r="AB60" s="494">
        <f t="shared" si="19"/>
        <v>-57834387.276298791</v>
      </c>
      <c r="AC60" s="494">
        <f t="shared" si="19"/>
        <v>0</v>
      </c>
      <c r="AD60" s="494">
        <f t="shared" si="19"/>
        <v>0</v>
      </c>
      <c r="AE60" s="494"/>
      <c r="AF60" s="494">
        <f t="shared" ref="AF60" si="20">SUM(AF54:AF59)</f>
        <v>0</v>
      </c>
      <c r="AG60" s="494"/>
      <c r="AH60" s="494"/>
      <c r="AI60" s="494">
        <f t="shared" ref="AI60:AS60" si="21">SUM(AI54:AI59)</f>
        <v>0</v>
      </c>
      <c r="AJ60" s="494"/>
      <c r="AK60" s="494"/>
      <c r="AL60" s="494">
        <f t="shared" si="21"/>
        <v>0</v>
      </c>
      <c r="AM60" s="494">
        <f t="shared" si="21"/>
        <v>0</v>
      </c>
      <c r="AN60" s="494">
        <f t="shared" si="21"/>
        <v>0</v>
      </c>
      <c r="AO60" s="494">
        <f t="shared" si="21"/>
        <v>0</v>
      </c>
      <c r="AP60" s="494">
        <f t="shared" si="21"/>
        <v>0</v>
      </c>
      <c r="AQ60" s="494">
        <f t="shared" si="21"/>
        <v>0</v>
      </c>
      <c r="AR60" s="494">
        <f t="shared" si="21"/>
        <v>-24218047.431628965</v>
      </c>
      <c r="AS60" s="1301">
        <f t="shared" si="21"/>
        <v>0</v>
      </c>
      <c r="AT60" s="494"/>
      <c r="AU60" s="494"/>
      <c r="AV60" s="494"/>
      <c r="AW60" s="494"/>
      <c r="AX60" s="494"/>
      <c r="AY60" s="494"/>
      <c r="AZ60" s="494"/>
      <c r="BB60" s="493">
        <f t="shared" si="19"/>
        <v>-38421351.274605609</v>
      </c>
      <c r="BC60" s="493">
        <f t="shared" si="19"/>
        <v>2910473035.7707138</v>
      </c>
      <c r="BD60" s="444"/>
      <c r="BE60" s="173"/>
      <c r="BF60" s="336"/>
    </row>
    <row r="61" spans="1:58" ht="15" outlineLevel="1" thickTop="1" x14ac:dyDescent="0.35">
      <c r="A61" s="336">
        <f t="shared" si="0"/>
        <v>47</v>
      </c>
      <c r="C61" s="465" t="s">
        <v>892</v>
      </c>
      <c r="D61" s="466"/>
      <c r="E61" s="1279"/>
      <c r="H61" s="495"/>
      <c r="AS61" s="1279"/>
      <c r="BB61" s="466"/>
      <c r="BC61" s="466"/>
      <c r="BD61" s="444"/>
      <c r="BE61" s="173"/>
      <c r="BF61" s="336"/>
    </row>
    <row r="62" spans="1:58" outlineLevel="1" x14ac:dyDescent="0.35">
      <c r="A62" s="336">
        <f t="shared" si="0"/>
        <v>48</v>
      </c>
      <c r="B62" s="329" t="s">
        <v>29</v>
      </c>
      <c r="C62" s="465" t="s">
        <v>892</v>
      </c>
      <c r="D62" s="496">
        <f>+'Def, COC, ConvF DPK-7 '!C13</f>
        <v>7.3575000000000002E-2</v>
      </c>
      <c r="E62" s="1302">
        <f>+'Def, COC, ConvF DPK-7 '!C13</f>
        <v>7.3575000000000002E-2</v>
      </c>
      <c r="F62" s="497">
        <f>+'Def, COC, ConvF DPK-7 '!C13</f>
        <v>7.3575000000000002E-2</v>
      </c>
      <c r="G62" s="497">
        <f>+'Def, COC, ConvF DPK-7 '!$C$13</f>
        <v>7.3575000000000002E-2</v>
      </c>
      <c r="H62" s="497">
        <f>+'Def, COC, ConvF DPK-7 '!$C$13</f>
        <v>7.3575000000000002E-2</v>
      </c>
      <c r="I62" s="497">
        <f>+'Def, COC, ConvF DPK-7 '!C13</f>
        <v>7.3575000000000002E-2</v>
      </c>
      <c r="J62" s="497">
        <f>+'Def, COC, ConvF DPK-7 '!C13</f>
        <v>7.3575000000000002E-2</v>
      </c>
      <c r="K62" s="497">
        <f>+'Def, COC, ConvF DPK-7 '!C13</f>
        <v>7.3575000000000002E-2</v>
      </c>
      <c r="L62" s="497">
        <f>+'Def, COC, ConvF DPK-7 '!C13</f>
        <v>7.3575000000000002E-2</v>
      </c>
      <c r="M62" s="497">
        <f>+'Def, COC, ConvF DPK-7 '!C13</f>
        <v>7.3575000000000002E-2</v>
      </c>
      <c r="N62" s="497">
        <f>+'Def, COC, ConvF DPK-7 '!C13</f>
        <v>7.3575000000000002E-2</v>
      </c>
      <c r="O62" s="497">
        <f>+'Def, COC, ConvF DPK-7 '!C13</f>
        <v>7.3575000000000002E-2</v>
      </c>
      <c r="P62" s="497">
        <f>+'Def, COC, ConvF DPK-7 '!C13</f>
        <v>7.3575000000000002E-2</v>
      </c>
      <c r="Q62" s="497">
        <f>+'Def, COC, ConvF DPK-7 '!C13</f>
        <v>7.3575000000000002E-2</v>
      </c>
      <c r="R62" s="497">
        <f>+'Def, COC, ConvF DPK-7 '!C13</f>
        <v>7.3575000000000002E-2</v>
      </c>
      <c r="S62" s="497">
        <f>+'Def, COC, ConvF DPK-7 '!C13</f>
        <v>7.3575000000000002E-2</v>
      </c>
      <c r="T62" s="497">
        <f>+'Def, COC, ConvF DPK-7 '!C13</f>
        <v>7.3575000000000002E-2</v>
      </c>
      <c r="U62" s="497">
        <f>+'Def, COC, ConvF DPK-7 '!C13</f>
        <v>7.3575000000000002E-2</v>
      </c>
      <c r="V62" s="497">
        <f>+'Def, COC, ConvF DPK-7 '!C13</f>
        <v>7.3575000000000002E-2</v>
      </c>
      <c r="W62" s="497">
        <f>+'Def, COC, ConvF DPK-7 '!C13</f>
        <v>7.3575000000000002E-2</v>
      </c>
      <c r="X62" s="497">
        <f>+'Def, COC, ConvF DPK-7 '!C13</f>
        <v>7.3575000000000002E-2</v>
      </c>
      <c r="Y62" s="497">
        <f>+'Def, COC, ConvF DPK-7 '!C13</f>
        <v>7.3575000000000002E-2</v>
      </c>
      <c r="Z62" s="497">
        <f>+'Def, COC, ConvF DPK-7 '!C13</f>
        <v>7.3575000000000002E-2</v>
      </c>
      <c r="AA62" s="497">
        <f>+'Def, COC, ConvF DPK-7 '!C13</f>
        <v>7.3575000000000002E-2</v>
      </c>
      <c r="AB62" s="497">
        <f>+'Def, COC, ConvF DPK-7 '!C13</f>
        <v>7.3575000000000002E-2</v>
      </c>
      <c r="AC62" s="497">
        <f>+'Def, COC, ConvF DPK-7 '!C13</f>
        <v>7.3575000000000002E-2</v>
      </c>
      <c r="AD62" s="497">
        <f>+'Def, COC, ConvF DPK-7 '!C13</f>
        <v>7.3575000000000002E-2</v>
      </c>
      <c r="AE62" s="497"/>
      <c r="AF62" s="497"/>
      <c r="AG62" s="497"/>
      <c r="AH62" s="497"/>
      <c r="AI62" s="497">
        <f>+'Def, COC, ConvF DPK-7 '!C13</f>
        <v>7.3575000000000002E-2</v>
      </c>
      <c r="AJ62" s="497"/>
      <c r="AK62" s="497">
        <f>+'Def, COC, ConvF DPK-7 '!C13</f>
        <v>7.3575000000000002E-2</v>
      </c>
      <c r="AL62" s="497">
        <f>+'Def, COC, ConvF DPK-7 '!C13</f>
        <v>7.3575000000000002E-2</v>
      </c>
      <c r="AM62" s="497">
        <f>+'Def, COC, ConvF DPK-7 '!$C$13</f>
        <v>7.3575000000000002E-2</v>
      </c>
      <c r="AN62" s="497">
        <f>+'Def, COC, ConvF DPK-7 '!$C$13</f>
        <v>7.3575000000000002E-2</v>
      </c>
      <c r="AO62" s="497">
        <f>+'Def, COC, ConvF DPK-7 '!$C$13</f>
        <v>7.3575000000000002E-2</v>
      </c>
      <c r="AP62" s="497">
        <f>+'Def, COC, ConvF DPK-7 '!C13</f>
        <v>7.3575000000000002E-2</v>
      </c>
      <c r="AQ62" s="497">
        <f>+'Def, COC, ConvF DPK-7 '!C13</f>
        <v>7.3575000000000002E-2</v>
      </c>
      <c r="AR62" s="497">
        <f>+'Def, COC, ConvF DPK-7 '!C13</f>
        <v>7.3575000000000002E-2</v>
      </c>
      <c r="AS62" s="1302">
        <f>+AR62</f>
        <v>7.3575000000000002E-2</v>
      </c>
      <c r="AT62" s="497"/>
      <c r="AU62" s="497"/>
      <c r="AV62" s="497"/>
      <c r="AW62" s="497"/>
      <c r="AX62" s="497"/>
      <c r="AY62" s="497"/>
      <c r="AZ62" s="497"/>
      <c r="BB62" s="496">
        <f>+'Def, COC, ConvF DPK-7 '!C13</f>
        <v>7.3575000000000002E-2</v>
      </c>
      <c r="BC62" s="496">
        <f>+'Def, COC, ConvF DPK-7 '!C13</f>
        <v>7.3575000000000002E-2</v>
      </c>
      <c r="BD62" s="444"/>
      <c r="BE62" s="173"/>
      <c r="BF62" s="336"/>
    </row>
    <row r="63" spans="1:58" outlineLevel="1" x14ac:dyDescent="0.35">
      <c r="A63" s="336">
        <f t="shared" si="0"/>
        <v>49</v>
      </c>
      <c r="B63" s="329" t="s">
        <v>23</v>
      </c>
      <c r="C63" s="465" t="s">
        <v>892</v>
      </c>
      <c r="D63" s="466">
        <f>+'Def, COC, ConvF DPK-7 '!P20</f>
        <v>0.75421300000000002</v>
      </c>
      <c r="E63" s="1279">
        <f>+'Def, COC, ConvF DPK-7 '!P20</f>
        <v>0.75421300000000002</v>
      </c>
      <c r="F63" s="329">
        <f>+'Def, COC, ConvF DPK-7 '!P20</f>
        <v>0.75421300000000002</v>
      </c>
      <c r="G63" s="329">
        <f>+'Def, COC, ConvF DPK-7 '!P20</f>
        <v>0.75421300000000002</v>
      </c>
      <c r="H63" s="329">
        <f>+'Def, COC, ConvF DPK-7 '!P20</f>
        <v>0.75421300000000002</v>
      </c>
      <c r="I63" s="329">
        <f>+'Def, COC, ConvF DPK-7 '!P20</f>
        <v>0.75421300000000002</v>
      </c>
      <c r="J63" s="329">
        <f>+'Def, COC, ConvF DPK-7 '!P20</f>
        <v>0.75421300000000002</v>
      </c>
      <c r="K63" s="329">
        <f>+'Def, COC, ConvF DPK-7 '!P20</f>
        <v>0.75421300000000002</v>
      </c>
      <c r="L63" s="329">
        <f>+'Def, COC, ConvF DPK-7 '!P20</f>
        <v>0.75421300000000002</v>
      </c>
      <c r="M63" s="329">
        <f>+'Def, COC, ConvF DPK-7 '!P20</f>
        <v>0.75421300000000002</v>
      </c>
      <c r="N63" s="329">
        <f>+'Def, COC, ConvF DPK-7 '!P20</f>
        <v>0.75421300000000002</v>
      </c>
      <c r="O63" s="329">
        <f>+'Def, COC, ConvF DPK-7 '!P20</f>
        <v>0.75421300000000002</v>
      </c>
      <c r="P63" s="329">
        <f>+'Def, COC, ConvF DPK-7 '!P20</f>
        <v>0.75421300000000002</v>
      </c>
      <c r="Q63" s="329">
        <f>+'Def, COC, ConvF DPK-7 '!P20</f>
        <v>0.75421300000000002</v>
      </c>
      <c r="R63" s="329">
        <f>+'Def, COC, ConvF DPK-7 '!P20</f>
        <v>0.75421300000000002</v>
      </c>
      <c r="S63" s="329">
        <f>+'Def, COC, ConvF DPK-7 '!P20</f>
        <v>0.75421300000000002</v>
      </c>
      <c r="T63" s="329">
        <f>+'Def, COC, ConvF DPK-7 '!P20</f>
        <v>0.75421300000000002</v>
      </c>
      <c r="U63" s="329">
        <f>+'Def, COC, ConvF DPK-7 '!P20</f>
        <v>0.75421300000000002</v>
      </c>
      <c r="V63" s="329">
        <f>+'Def, COC, ConvF DPK-7 '!P20</f>
        <v>0.75421300000000002</v>
      </c>
      <c r="W63" s="329">
        <f>+'Def, COC, ConvF DPK-7 '!P20</f>
        <v>0.75421300000000002</v>
      </c>
      <c r="X63" s="329">
        <f>+'Def, COC, ConvF DPK-7 '!P20</f>
        <v>0.75421300000000002</v>
      </c>
      <c r="Y63" s="329">
        <f>+'Def, COC, ConvF DPK-7 '!P20</f>
        <v>0.75421300000000002</v>
      </c>
      <c r="Z63" s="329">
        <f>+'Def, COC, ConvF DPK-7 '!P20</f>
        <v>0.75421300000000002</v>
      </c>
      <c r="AA63" s="329">
        <f>+'Def, COC, ConvF DPK-7 '!P20</f>
        <v>0.75421300000000002</v>
      </c>
      <c r="AB63" s="329">
        <f>+'Def, COC, ConvF DPK-7 '!P20</f>
        <v>0.75421300000000002</v>
      </c>
      <c r="AC63" s="329">
        <f>+'Def, COC, ConvF DPK-7 '!P20</f>
        <v>0.75421300000000002</v>
      </c>
      <c r="AD63" s="329">
        <f>+'Def, COC, ConvF DPK-7 '!P20</f>
        <v>0.75421300000000002</v>
      </c>
      <c r="AI63" s="329">
        <f>+'Def, COC, ConvF DPK-7 '!P20</f>
        <v>0.75421300000000002</v>
      </c>
      <c r="AK63" s="329">
        <f>+'Def, COC, ConvF DPK-7 '!P20</f>
        <v>0.75421300000000002</v>
      </c>
      <c r="AL63" s="329">
        <f>+'Def, COC, ConvF DPK-7 '!P20</f>
        <v>0.75421300000000002</v>
      </c>
      <c r="AM63" s="329">
        <f>+'Def, COC, ConvF DPK-7 '!$P$20</f>
        <v>0.75421300000000002</v>
      </c>
      <c r="AN63" s="329">
        <f>+'Def, COC, ConvF DPK-7 '!$P$20</f>
        <v>0.75421300000000002</v>
      </c>
      <c r="AO63" s="329">
        <f>+'Def, COC, ConvF DPK-7 '!$P$20</f>
        <v>0.75421300000000002</v>
      </c>
      <c r="AP63" s="329">
        <f>+'Def, COC, ConvF DPK-7 '!P20</f>
        <v>0.75421300000000002</v>
      </c>
      <c r="AQ63" s="329">
        <f>+'Def, COC, ConvF DPK-7 '!P20</f>
        <v>0.75421300000000002</v>
      </c>
      <c r="AR63" s="329">
        <f>+'Def, COC, ConvF DPK-7 '!P20</f>
        <v>0.75421300000000002</v>
      </c>
      <c r="AS63" s="1279">
        <f>+AR63</f>
        <v>0.75421300000000002</v>
      </c>
      <c r="BB63" s="466">
        <f>+'Def, COC, ConvF DPK-7 '!P20</f>
        <v>0.75421300000000002</v>
      </c>
      <c r="BC63" s="466">
        <f>+'Def, COC, ConvF DPK-7 '!P20</f>
        <v>0.75421300000000002</v>
      </c>
      <c r="BD63" s="444"/>
      <c r="BE63" s="173"/>
      <c r="BF63" s="336"/>
    </row>
    <row r="64" spans="1:58" outlineLevel="1" x14ac:dyDescent="0.35">
      <c r="A64" s="336">
        <f t="shared" si="0"/>
        <v>50</v>
      </c>
      <c r="B64" s="329" t="s">
        <v>186</v>
      </c>
      <c r="C64" s="465" t="s">
        <v>892</v>
      </c>
      <c r="D64" s="470">
        <f>+D47-(D60*D62)</f>
        <v>-34890697.936859488</v>
      </c>
      <c r="E64" s="1303">
        <f t="shared" ref="E64:AD64" si="22">+E47-(E60*E62)</f>
        <v>32253615.866947763</v>
      </c>
      <c r="F64" s="265">
        <f t="shared" si="22"/>
        <v>2084412.2876831293</v>
      </c>
      <c r="G64" s="265">
        <f t="shared" si="22"/>
        <v>-68328.809286971111</v>
      </c>
      <c r="H64" s="265">
        <f t="shared" si="22"/>
        <v>-2391601.7753268979</v>
      </c>
      <c r="I64" s="265">
        <f t="shared" si="22"/>
        <v>16074542.57656165</v>
      </c>
      <c r="J64" s="265">
        <f t="shared" si="22"/>
        <v>213041.17074922178</v>
      </c>
      <c r="K64" s="265">
        <f t="shared" si="22"/>
        <v>-183413.51902969996</v>
      </c>
      <c r="L64" s="265">
        <f t="shared" si="22"/>
        <v>-678.41161519914863</v>
      </c>
      <c r="M64" s="265">
        <f t="shared" si="22"/>
        <v>13658.449104713156</v>
      </c>
      <c r="N64" s="265">
        <f t="shared" si="22"/>
        <v>18993.65433911428</v>
      </c>
      <c r="O64" s="265">
        <f t="shared" si="22"/>
        <v>1105216.3354017462</v>
      </c>
      <c r="P64" s="265">
        <f t="shared" si="22"/>
        <v>-151116.36784572125</v>
      </c>
      <c r="Q64" s="265">
        <f t="shared" si="22"/>
        <v>-30503.742766919091</v>
      </c>
      <c r="R64" s="265">
        <f t="shared" si="22"/>
        <v>-435005.0623120963</v>
      </c>
      <c r="S64" s="265">
        <f t="shared" si="22"/>
        <v>-778045.66996666696</v>
      </c>
      <c r="T64" s="265">
        <f t="shared" si="22"/>
        <v>13098.494505843493</v>
      </c>
      <c r="U64" s="265">
        <f t="shared" si="22"/>
        <v>-1117190.4516966809</v>
      </c>
      <c r="V64" s="265">
        <f t="shared" si="22"/>
        <v>-2924834.9278341117</v>
      </c>
      <c r="W64" s="265">
        <f t="shared" si="22"/>
        <v>-3712258.5625817338</v>
      </c>
      <c r="X64" s="265">
        <f t="shared" si="22"/>
        <v>-6322249.0496835569</v>
      </c>
      <c r="Y64" s="265">
        <f>+Y47-(Y60*Y62)</f>
        <v>14420.256752399737</v>
      </c>
      <c r="Z64" s="265">
        <f t="shared" si="22"/>
        <v>0</v>
      </c>
      <c r="AA64" s="265">
        <f t="shared" si="22"/>
        <v>0</v>
      </c>
      <c r="AB64" s="265">
        <f t="shared" si="22"/>
        <v>1355843.0964576234</v>
      </c>
      <c r="AC64" s="265">
        <f t="shared" si="22"/>
        <v>-267705.11489864736</v>
      </c>
      <c r="AD64" s="265">
        <f t="shared" si="22"/>
        <v>0</v>
      </c>
      <c r="AE64" s="265"/>
      <c r="AF64" s="265"/>
      <c r="AG64" s="265"/>
      <c r="AH64" s="265"/>
      <c r="AI64" s="265">
        <f t="shared" ref="AI64:AS64" si="23">+AI47-(AI60*AI62)</f>
        <v>0</v>
      </c>
      <c r="AJ64" s="265"/>
      <c r="AK64" s="265">
        <f t="shared" ref="AK64:AO64" si="24">+AK47-(AK60*AK62)</f>
        <v>-1702914.1352699972</v>
      </c>
      <c r="AL64" s="265">
        <f t="shared" si="24"/>
        <v>-1275792.7171000002</v>
      </c>
      <c r="AM64" s="265">
        <f t="shared" si="24"/>
        <v>69091.03</v>
      </c>
      <c r="AN64" s="265">
        <f t="shared" si="24"/>
        <v>0</v>
      </c>
      <c r="AO64" s="265">
        <f t="shared" si="24"/>
        <v>0</v>
      </c>
      <c r="AP64" s="265">
        <f t="shared" si="23"/>
        <v>0</v>
      </c>
      <c r="AQ64" s="265">
        <f t="shared" si="23"/>
        <v>0</v>
      </c>
      <c r="AR64" s="265">
        <f t="shared" si="23"/>
        <v>2444459.9439226426</v>
      </c>
      <c r="AS64" s="1303">
        <f t="shared" si="23"/>
        <v>0</v>
      </c>
      <c r="AT64" s="265"/>
      <c r="AU64" s="265"/>
      <c r="AV64" s="265"/>
      <c r="AW64" s="265"/>
      <c r="AX64" s="265"/>
      <c r="AY64" s="265"/>
      <c r="AZ64" s="265"/>
      <c r="BB64" s="470">
        <f>SUM(E64:AZ64)</f>
        <v>34298754.845210955</v>
      </c>
      <c r="BC64" s="470">
        <f>+BC47-(BC60*BC62)</f>
        <v>-591943.09164831042</v>
      </c>
      <c r="BD64" s="444"/>
      <c r="BE64" s="173"/>
      <c r="BF64" s="336"/>
    </row>
    <row r="65" spans="1:58" outlineLevel="1" x14ac:dyDescent="0.35">
      <c r="A65" s="336">
        <f t="shared" si="0"/>
        <v>51</v>
      </c>
      <c r="B65" s="329" t="s">
        <v>187</v>
      </c>
      <c r="C65" s="465" t="s">
        <v>892</v>
      </c>
      <c r="D65" s="470">
        <f>-D64/D63</f>
        <v>46261066.750187926</v>
      </c>
      <c r="E65" s="1303">
        <f t="shared" ref="E65:BC65" si="25">-E64/E63</f>
        <v>-42764598.153237559</v>
      </c>
      <c r="F65" s="265">
        <f t="shared" si="25"/>
        <v>-2763691.8054755479</v>
      </c>
      <c r="G65" s="265">
        <f t="shared" si="25"/>
        <v>90596.170162767157</v>
      </c>
      <c r="H65" s="265">
        <f t="shared" si="25"/>
        <v>3170989.8600619426</v>
      </c>
      <c r="I65" s="265">
        <f t="shared" si="25"/>
        <v>-21313001.203322735</v>
      </c>
      <c r="J65" s="265">
        <f t="shared" si="25"/>
        <v>-282468.17642923386</v>
      </c>
      <c r="K65" s="265">
        <f t="shared" si="25"/>
        <v>243185.30578192096</v>
      </c>
      <c r="L65" s="265">
        <f t="shared" si="25"/>
        <v>899.49605111440485</v>
      </c>
      <c r="M65" s="265">
        <f t="shared" si="25"/>
        <v>-18109.53816059012</v>
      </c>
      <c r="N65" s="265">
        <f t="shared" si="25"/>
        <v>-25183.408850171345</v>
      </c>
      <c r="O65" s="265">
        <f t="shared" si="25"/>
        <v>-1465390.1953450101</v>
      </c>
      <c r="P65" s="265">
        <f t="shared" si="25"/>
        <v>200362.98478774729</v>
      </c>
      <c r="Q65" s="265">
        <f t="shared" si="25"/>
        <v>40444.466970098751</v>
      </c>
      <c r="R65" s="265">
        <f t="shared" si="25"/>
        <v>576766.85805216338</v>
      </c>
      <c r="S65" s="265">
        <f t="shared" si="25"/>
        <v>1031599.388987815</v>
      </c>
      <c r="T65" s="265">
        <f t="shared" si="25"/>
        <v>-17367.102537139366</v>
      </c>
      <c r="U65" s="265">
        <f t="shared" si="25"/>
        <v>1481266.5012359649</v>
      </c>
      <c r="V65" s="265">
        <f t="shared" si="25"/>
        <v>3877995.9080977277</v>
      </c>
      <c r="W65" s="265">
        <f t="shared" si="25"/>
        <v>4922029.4036057899</v>
      </c>
      <c r="X65" s="265">
        <f t="shared" si="25"/>
        <v>8382577.6666320479</v>
      </c>
      <c r="Y65" s="265">
        <f>-Y64/Y63</f>
        <v>-19119.607793023639</v>
      </c>
      <c r="Z65" s="265">
        <f t="shared" si="25"/>
        <v>0</v>
      </c>
      <c r="AA65" s="265">
        <f t="shared" si="25"/>
        <v>0</v>
      </c>
      <c r="AB65" s="265">
        <f t="shared" si="25"/>
        <v>-1797692.5569535706</v>
      </c>
      <c r="AC65" s="265">
        <f t="shared" si="25"/>
        <v>354946.30150719668</v>
      </c>
      <c r="AD65" s="265">
        <f t="shared" si="25"/>
        <v>0</v>
      </c>
      <c r="AE65" s="265"/>
      <c r="AF65" s="265"/>
      <c r="AG65" s="265"/>
      <c r="AH65" s="265"/>
      <c r="AI65" s="265">
        <f t="shared" ref="AI65:AS65" si="26">-AI64/AI63</f>
        <v>0</v>
      </c>
      <c r="AJ65" s="265"/>
      <c r="AK65" s="265">
        <f t="shared" ref="AK65" si="27">-AK64/AK63</f>
        <v>2257868.9776893225</v>
      </c>
      <c r="AL65" s="265">
        <f>-AL64/AL63</f>
        <v>1691554.9282497123</v>
      </c>
      <c r="AM65" s="265">
        <f>-AM64/AM63</f>
        <v>-91606.787472504453</v>
      </c>
      <c r="AN65" s="265">
        <f t="shared" ref="AN65:AO65" si="28">-AN64/AN63</f>
        <v>0</v>
      </c>
      <c r="AO65" s="265">
        <f t="shared" si="28"/>
        <v>0</v>
      </c>
      <c r="AP65" s="265">
        <f t="shared" si="26"/>
        <v>0</v>
      </c>
      <c r="AQ65" s="265">
        <f t="shared" si="26"/>
        <v>0</v>
      </c>
      <c r="AR65" s="265">
        <f t="shared" si="26"/>
        <v>-3241073.7337100296</v>
      </c>
      <c r="AS65" s="1303">
        <f t="shared" si="26"/>
        <v>0</v>
      </c>
      <c r="AT65" s="265"/>
      <c r="AU65" s="265"/>
      <c r="AV65" s="265"/>
      <c r="AW65" s="265"/>
      <c r="AX65" s="265"/>
      <c r="AY65" s="265"/>
      <c r="AZ65" s="265"/>
      <c r="BB65" s="470">
        <f t="shared" si="25"/>
        <v>-45476218.051413797</v>
      </c>
      <c r="BC65" s="470">
        <f t="shared" si="25"/>
        <v>784848.69877383497</v>
      </c>
      <c r="BD65" s="444"/>
      <c r="BE65" s="173"/>
      <c r="BF65" s="336"/>
    </row>
    <row r="66" spans="1:58" outlineLevel="1" x14ac:dyDescent="0.35">
      <c r="A66" s="336">
        <f t="shared" si="0"/>
        <v>52</v>
      </c>
      <c r="B66" s="329" t="s">
        <v>42</v>
      </c>
      <c r="C66" s="465" t="s">
        <v>892</v>
      </c>
      <c r="D66" s="470"/>
      <c r="E66" s="1303"/>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1303"/>
      <c r="AT66" s="265"/>
      <c r="AU66" s="265"/>
      <c r="AV66" s="265"/>
      <c r="AW66" s="265"/>
      <c r="AX66" s="265"/>
      <c r="AY66" s="265"/>
      <c r="AZ66" s="265"/>
      <c r="BB66" s="470"/>
      <c r="BC66" s="470"/>
      <c r="BD66" s="444"/>
      <c r="BF66" s="336"/>
    </row>
    <row r="67" spans="1:58" outlineLevel="1" x14ac:dyDescent="0.35">
      <c r="A67" s="336">
        <f t="shared" si="0"/>
        <v>53</v>
      </c>
      <c r="B67" s="329" t="s">
        <v>43</v>
      </c>
      <c r="C67" s="465" t="s">
        <v>892</v>
      </c>
      <c r="D67" s="470"/>
      <c r="E67" s="1303"/>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1303"/>
      <c r="AT67" s="265"/>
      <c r="AU67" s="265"/>
      <c r="AV67" s="265"/>
      <c r="AW67" s="265"/>
      <c r="AX67" s="265"/>
      <c r="AY67" s="265"/>
      <c r="AZ67" s="265"/>
      <c r="BB67" s="470"/>
      <c r="BC67" s="470"/>
      <c r="BD67" s="444"/>
      <c r="BF67" s="336"/>
    </row>
    <row r="68" spans="1:58" outlineLevel="1" x14ac:dyDescent="0.35">
      <c r="A68" s="336">
        <f t="shared" si="0"/>
        <v>54</v>
      </c>
      <c r="C68" s="465" t="s">
        <v>892</v>
      </c>
      <c r="D68" s="498"/>
      <c r="E68" s="1303"/>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1303"/>
      <c r="AT68" s="265"/>
      <c r="AU68" s="265"/>
      <c r="AV68" s="265"/>
      <c r="AW68" s="265"/>
      <c r="AX68" s="265"/>
      <c r="AY68" s="265"/>
      <c r="AZ68" s="265"/>
      <c r="BB68" s="498"/>
      <c r="BC68" s="498"/>
      <c r="BD68" s="444"/>
      <c r="BF68" s="336"/>
    </row>
    <row r="69" spans="1:58" outlineLevel="1" x14ac:dyDescent="0.35">
      <c r="A69" s="336">
        <f t="shared" si="0"/>
        <v>55</v>
      </c>
      <c r="C69" s="465" t="s">
        <v>892</v>
      </c>
      <c r="E69" s="1319"/>
      <c r="AS69" s="1279"/>
      <c r="BD69" s="444"/>
      <c r="BF69" s="336"/>
    </row>
    <row r="70" spans="1:58" s="499" customFormat="1" outlineLevel="1" x14ac:dyDescent="0.35">
      <c r="A70" s="336">
        <f>+A69+1</f>
        <v>56</v>
      </c>
      <c r="B70" s="499" t="s">
        <v>939</v>
      </c>
      <c r="C70" s="465" t="s">
        <v>892</v>
      </c>
      <c r="D70" s="500"/>
      <c r="E70" s="1304">
        <f>ROUND('Common Adj'!E$71-E47,0)+E49</f>
        <v>0</v>
      </c>
      <c r="F70" s="551">
        <f>ROUND('Common Adj'!W$65-F47,0)+F49</f>
        <v>0</v>
      </c>
      <c r="G70" s="551">
        <f>ROUND('Common Adj'!AO$30-G47,0)+G49</f>
        <v>0</v>
      </c>
      <c r="H70" s="551">
        <f>ROUND('Common Adj'!BG$22-H47,0)+H49</f>
        <v>0</v>
      </c>
      <c r="I70" s="551">
        <f>ROUND('Common Adj'!BY$24-I47,0)+I49</f>
        <v>0</v>
      </c>
      <c r="J70" s="551">
        <f>ROUND('Common Adj'!CQ$20-J47,0)+J49</f>
        <v>0</v>
      </c>
      <c r="K70" s="551">
        <f>ROUND('Common Adj'!DI$22-K47,0)+K49</f>
        <v>0</v>
      </c>
      <c r="L70" s="551">
        <f>ROUND('Common Adj'!EA$21-L47,0)+L49</f>
        <v>0</v>
      </c>
      <c r="M70" s="551">
        <f>ROUND('Common Adj'!ES$27-M47,0)+M49</f>
        <v>0</v>
      </c>
      <c r="N70" s="551">
        <f>ROUND('Common Adj'!FK$23-N47,0)+N49</f>
        <v>0</v>
      </c>
      <c r="O70" s="551">
        <f>ROUND('Common Adj'!GC$32-O47,0)+O49</f>
        <v>0</v>
      </c>
      <c r="P70" s="551">
        <f>ROUND('Common Adj'!GU$36-P47,0)+P49</f>
        <v>0</v>
      </c>
      <c r="Q70" s="551">
        <f>ROUND('Common Adj'!HM$18-Q47,0)+Q49</f>
        <v>0</v>
      </c>
      <c r="R70" s="551">
        <f>ROUND('Common Adj'!IE$21-R47,0)+R49</f>
        <v>0</v>
      </c>
      <c r="S70" s="551">
        <f>ROUND('Common Adj'!IW$22-S47,0)+S49</f>
        <v>0</v>
      </c>
      <c r="T70" s="551">
        <f>ROUND('Common Adj'!JO$23-T47,0)+T49</f>
        <v>0</v>
      </c>
      <c r="U70" s="551">
        <f>ROUND('Common Adj'!KG$20-U47,0)+U49</f>
        <v>0</v>
      </c>
      <c r="V70" s="551">
        <f>ROUND('Common Adj'!KY$33-V47,0)+V49</f>
        <v>0</v>
      </c>
      <c r="W70" s="551">
        <f>ROUND('Common Adj'!LQ$22-W49,0)+W47</f>
        <v>0</v>
      </c>
      <c r="X70" s="551">
        <f>ROUND('Common Adj'!MI$31-X47,0)+ROUND('Common Adj'!MI$36-X49,0)</f>
        <v>0</v>
      </c>
      <c r="Y70" s="551">
        <f>ROUND('Common Adj'!NA$22-Y47,0)+Y49</f>
        <v>0</v>
      </c>
      <c r="Z70" s="551">
        <f>ROUND('Common Adj'!NS$31-Z47,0)+Z49</f>
        <v>0</v>
      </c>
      <c r="AA70" s="551">
        <f>ROUND('Common Adj'!OK$35-AA47,0)+ROUND('Common Adj'!OK$24-AA49,0)</f>
        <v>0</v>
      </c>
      <c r="AB70" s="551">
        <f>ROUND('Common Adj'!PC$53-AB47,0)+ROUND('Common Adj'!PC$35-AB49,0)</f>
        <v>0</v>
      </c>
      <c r="AC70" s="551">
        <f>ROUND('Common Adj'!PU$21-AC47,0)+AC49</f>
        <v>0</v>
      </c>
      <c r="AD70" s="551">
        <f>ROUND('Common Adj'!RW$30-AD47,0)+ROUND('Common Adj'!RW$35-AD49,0)</f>
        <v>0</v>
      </c>
      <c r="AE70" s="551">
        <f>ROUND('Common Adj'!RF$31-AE47,0)+ROUND('Common Adj'!RF$36-AE49,0)</f>
        <v>0</v>
      </c>
      <c r="AF70" s="551">
        <f>ROUND('Common Adj'!RX30-AF47,0)+ROUND('Common Adj'!RX35-AF49,0)</f>
        <v>0</v>
      </c>
      <c r="AG70" s="551">
        <f>ROUND('Common Adj'!SP$62-AG47,0)+ROUND('Common Adj'!SP$67-AG49,0)</f>
        <v>0</v>
      </c>
      <c r="AH70" s="551">
        <f>ROUND('Common Adj'!SP$80-AH47,0)+ROUND('Common Adj'!SP$85-AH49,0)</f>
        <v>0</v>
      </c>
      <c r="AI70" s="551">
        <f>ROUND('Common Adj'!SP$98-AI47,0)+ROUND('Common Adj'!SP$103-AI49,0)</f>
        <v>0</v>
      </c>
      <c r="AJ70" s="551">
        <f>ROUND('Common Adj'!SQ$98-AJ47,0)+ROUND('Common Adj'!SQ$103-AJ49,0)</f>
        <v>0</v>
      </c>
      <c r="AK70" s="551">
        <f>ROUND('Common Adj'!UB$38-AK47,0)</f>
        <v>0</v>
      </c>
      <c r="AL70" s="551">
        <f>ROUND('Common Adj'!UU$27-AL47,0)</f>
        <v>0</v>
      </c>
      <c r="AM70" s="551">
        <f>ROUND('Common Adj'!TI$25-AM47,0)</f>
        <v>0</v>
      </c>
      <c r="AN70" s="551">
        <f>AN47-'Common Adj'!VN32</f>
        <v>0</v>
      </c>
      <c r="AO70" s="551">
        <f>ROUND('Common Adj'!TK$25-AO47,0)</f>
        <v>0</v>
      </c>
      <c r="AP70" s="551">
        <f>(AP49-'Gas Adj'!BG33)+(AP47-'Gas Adj'!BG49)</f>
        <v>0</v>
      </c>
      <c r="AQ70" s="551">
        <f>ROUND('Gas Adj'!BY$53-AQ49,0)+AQ47</f>
        <v>0</v>
      </c>
      <c r="AR70" s="551">
        <f>ROUND('Gas Adj'!CQ22-AR47+'Gas Adj'!CQ31-AR49,0)</f>
        <v>0</v>
      </c>
      <c r="AS70" s="1304">
        <f>ROUND('Gas Adj'!CZ22-AS47+'Gas Adj'!CZ31-AS49,0)</f>
        <v>-18186836</v>
      </c>
      <c r="AT70" s="547"/>
      <c r="AU70" s="548"/>
      <c r="AV70" s="549"/>
      <c r="AW70" s="549"/>
      <c r="AX70" s="549"/>
      <c r="AY70" s="549"/>
      <c r="AZ70" s="549"/>
      <c r="BB70" s="550"/>
      <c r="BC70" s="550"/>
      <c r="BD70" s="444"/>
      <c r="BF70" s="336"/>
    </row>
    <row r="71" spans="1:58" outlineLevel="1" x14ac:dyDescent="0.35">
      <c r="A71" s="336">
        <f t="shared" si="0"/>
        <v>57</v>
      </c>
      <c r="B71" s="499" t="s">
        <v>953</v>
      </c>
      <c r="C71" s="465" t="s">
        <v>892</v>
      </c>
      <c r="D71" s="551">
        <f>'Summary DPK-7 '!C47-D47</f>
        <v>0</v>
      </c>
      <c r="E71" s="1279"/>
      <c r="AS71" s="1279"/>
      <c r="BA71" s="329"/>
      <c r="BC71" s="551">
        <f>'Summary DPK-7 '!E47-BC47</f>
        <v>0</v>
      </c>
      <c r="BD71" s="444"/>
      <c r="BF71" s="336"/>
    </row>
    <row r="72" spans="1:58" outlineLevel="1" x14ac:dyDescent="0.35">
      <c r="A72" s="336">
        <f t="shared" si="0"/>
        <v>58</v>
      </c>
      <c r="B72" s="499" t="s">
        <v>954</v>
      </c>
      <c r="C72" s="465" t="s">
        <v>892</v>
      </c>
      <c r="D72" s="551">
        <f>'Summary DPK-7 '!C58-D60</f>
        <v>0</v>
      </c>
      <c r="E72" s="1279"/>
      <c r="AS72" s="1279"/>
      <c r="BA72" s="329"/>
      <c r="BC72" s="551">
        <f>'Summary DPK-7 '!E58-BC60</f>
        <v>0</v>
      </c>
      <c r="BD72" s="444"/>
      <c r="BF72" s="336"/>
    </row>
    <row r="73" spans="1:58" x14ac:dyDescent="0.35">
      <c r="A73" s="456"/>
      <c r="B73" s="503"/>
      <c r="C73" s="504"/>
      <c r="D73" s="462"/>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B73" s="456"/>
      <c r="BC73" s="462"/>
      <c r="BD73" s="444"/>
      <c r="BF73" s="336"/>
    </row>
    <row r="74" spans="1:58" outlineLevel="1" x14ac:dyDescent="0.35">
      <c r="A74" s="456"/>
      <c r="B74" s="458"/>
      <c r="C74" s="505" t="s">
        <v>919</v>
      </c>
      <c r="D74" s="506"/>
      <c r="E74" s="461">
        <v>45261</v>
      </c>
      <c r="F74" s="461">
        <v>45261</v>
      </c>
      <c r="G74" s="461">
        <v>45261</v>
      </c>
      <c r="H74" s="461">
        <v>45261</v>
      </c>
      <c r="I74" s="461">
        <v>45261</v>
      </c>
      <c r="J74" s="461">
        <v>45261</v>
      </c>
      <c r="K74" s="461">
        <v>45261</v>
      </c>
      <c r="L74" s="461">
        <v>45261</v>
      </c>
      <c r="M74" s="461">
        <v>45261</v>
      </c>
      <c r="N74" s="461">
        <v>45261</v>
      </c>
      <c r="O74" s="461">
        <v>45261</v>
      </c>
      <c r="P74" s="461">
        <v>45261</v>
      </c>
      <c r="Q74" s="461">
        <v>45261</v>
      </c>
      <c r="R74" s="461">
        <v>45261</v>
      </c>
      <c r="S74" s="461">
        <v>45261</v>
      </c>
      <c r="T74" s="461">
        <v>45261</v>
      </c>
      <c r="U74" s="461">
        <v>45261</v>
      </c>
      <c r="V74" s="461">
        <v>45261</v>
      </c>
      <c r="W74" s="461">
        <v>45261</v>
      </c>
      <c r="X74" s="461">
        <v>45261</v>
      </c>
      <c r="Y74" s="461">
        <v>45261</v>
      </c>
      <c r="Z74" s="461">
        <v>45261</v>
      </c>
      <c r="AA74" s="461">
        <v>45261</v>
      </c>
      <c r="AB74" s="461">
        <v>45261</v>
      </c>
      <c r="AC74" s="461">
        <v>45261</v>
      </c>
      <c r="AD74" s="461">
        <v>45261</v>
      </c>
      <c r="AE74" s="461">
        <v>45261</v>
      </c>
      <c r="AF74" s="461">
        <v>45261</v>
      </c>
      <c r="AG74" s="461">
        <v>45261</v>
      </c>
      <c r="AH74" s="461">
        <v>45261</v>
      </c>
      <c r="AI74" s="461">
        <v>45261</v>
      </c>
      <c r="AJ74" s="461"/>
      <c r="AK74" s="461">
        <v>45261</v>
      </c>
      <c r="AL74" s="461">
        <v>45261</v>
      </c>
      <c r="AM74" s="461">
        <v>45261</v>
      </c>
      <c r="AN74" s="461">
        <v>45261</v>
      </c>
      <c r="AO74" s="461">
        <v>45261</v>
      </c>
      <c r="AP74" s="461">
        <v>45261</v>
      </c>
      <c r="AQ74" s="461">
        <v>45261</v>
      </c>
      <c r="AR74" s="461">
        <v>45261</v>
      </c>
      <c r="AS74" s="461">
        <v>45261</v>
      </c>
      <c r="AT74" s="461">
        <v>45261</v>
      </c>
      <c r="AU74" s="461">
        <v>45261</v>
      </c>
      <c r="AV74" s="461">
        <v>45261</v>
      </c>
      <c r="AW74" s="461">
        <v>45261</v>
      </c>
      <c r="AX74" s="461">
        <v>45261</v>
      </c>
      <c r="AY74" s="461">
        <v>45261</v>
      </c>
      <c r="AZ74" s="461">
        <v>45261</v>
      </c>
      <c r="BB74" s="461">
        <v>45261</v>
      </c>
      <c r="BC74" s="461">
        <v>45261</v>
      </c>
      <c r="BD74" s="444"/>
      <c r="BF74" s="336"/>
    </row>
    <row r="75" spans="1:58" outlineLevel="1" x14ac:dyDescent="0.35">
      <c r="A75" s="456"/>
      <c r="B75" s="458"/>
      <c r="C75" s="507"/>
      <c r="D75" s="508"/>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c r="AY75" s="463"/>
      <c r="AZ75" s="463"/>
      <c r="BB75" s="456"/>
      <c r="BC75" s="462"/>
      <c r="BD75" s="444"/>
      <c r="BF75" s="336"/>
    </row>
    <row r="76" spans="1:58" outlineLevel="1" x14ac:dyDescent="0.35">
      <c r="A76" s="336">
        <v>1</v>
      </c>
      <c r="B76" s="464" t="s">
        <v>0</v>
      </c>
      <c r="C76" s="509">
        <v>45291</v>
      </c>
      <c r="D76" s="467"/>
      <c r="E76" s="1320"/>
      <c r="F76" s="509"/>
      <c r="G76" s="509"/>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N76" s="509"/>
      <c r="AO76" s="509"/>
      <c r="AP76" s="509"/>
      <c r="AS76" s="1279"/>
      <c r="BB76" s="467"/>
      <c r="BC76" s="467"/>
      <c r="BD76" s="444"/>
      <c r="BF76" s="336"/>
    </row>
    <row r="77" spans="1:58" outlineLevel="1" x14ac:dyDescent="0.35">
      <c r="A77" s="336">
        <f>1+A76</f>
        <v>2</v>
      </c>
      <c r="B77" s="464" t="s">
        <v>48</v>
      </c>
      <c r="C77" s="509">
        <v>45291</v>
      </c>
      <c r="D77" s="467">
        <f>+BC16</f>
        <v>635165639.87275779</v>
      </c>
      <c r="E77" s="1306">
        <f>'Common Adj'!G37</f>
        <v>-57533887.225894623</v>
      </c>
      <c r="F77" s="471"/>
      <c r="G77" s="471">
        <f>'Common Adj'!AQ20</f>
        <v>-23455855.920842834</v>
      </c>
      <c r="H77" s="471"/>
      <c r="I77" s="471"/>
      <c r="J77" s="471"/>
      <c r="K77" s="471"/>
      <c r="L77" s="471"/>
      <c r="M77" s="471"/>
      <c r="N77" s="471"/>
      <c r="O77" s="471"/>
      <c r="P77" s="471"/>
      <c r="Q77" s="471"/>
      <c r="R77" s="471"/>
      <c r="S77" s="471"/>
      <c r="T77" s="471"/>
      <c r="U77" s="471"/>
      <c r="V77" s="471"/>
      <c r="W77" s="471"/>
      <c r="X77" s="471"/>
      <c r="Y77" s="471"/>
      <c r="Z77" s="471"/>
      <c r="AA77" s="471"/>
      <c r="AB77" s="471"/>
      <c r="AC77" s="469"/>
      <c r="AD77" s="469"/>
      <c r="AE77" s="469"/>
      <c r="AF77" s="469"/>
      <c r="AG77" s="469"/>
      <c r="AH77" s="469"/>
      <c r="AI77" s="469"/>
      <c r="AJ77" s="469"/>
      <c r="AK77" s="469"/>
      <c r="AL77" s="469"/>
      <c r="AM77" s="468"/>
      <c r="AN77" s="469"/>
      <c r="AO77" s="469"/>
      <c r="AP77" s="469"/>
      <c r="AQ77" s="469"/>
      <c r="AR77" s="469"/>
      <c r="AS77" s="1289"/>
      <c r="AT77" s="469"/>
      <c r="AU77" s="469"/>
      <c r="AV77" s="469"/>
      <c r="AW77" s="469"/>
      <c r="AX77" s="469"/>
      <c r="AY77" s="469"/>
      <c r="AZ77" s="469"/>
      <c r="BB77" s="467">
        <f>SUM(E77:AZ77)</f>
        <v>-80989743.146737456</v>
      </c>
      <c r="BC77" s="467">
        <f>+BB77+BC16</f>
        <v>554175896.72602034</v>
      </c>
      <c r="BD77" s="444"/>
      <c r="BE77" s="173"/>
      <c r="BF77" s="336"/>
    </row>
    <row r="78" spans="1:58" outlineLevel="1" x14ac:dyDescent="0.35">
      <c r="A78" s="336">
        <f t="shared" ref="A78:A133" si="29">1+A77</f>
        <v>3</v>
      </c>
      <c r="B78" s="464" t="s">
        <v>49</v>
      </c>
      <c r="C78" s="509">
        <v>45291</v>
      </c>
      <c r="D78" s="470">
        <f>+BC17</f>
        <v>0</v>
      </c>
      <c r="E78" s="1306"/>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2"/>
      <c r="AD78" s="472"/>
      <c r="AE78" s="472"/>
      <c r="AF78" s="472"/>
      <c r="AG78" s="472"/>
      <c r="AH78" s="472"/>
      <c r="AI78" s="472"/>
      <c r="AJ78" s="472"/>
      <c r="AK78" s="472"/>
      <c r="AL78" s="472"/>
      <c r="AM78" s="471"/>
      <c r="AN78" s="472"/>
      <c r="AO78" s="472"/>
      <c r="AP78" s="472"/>
      <c r="AQ78" s="472"/>
      <c r="AR78" s="472"/>
      <c r="AS78" s="1290"/>
      <c r="AT78" s="472"/>
      <c r="AU78" s="472"/>
      <c r="AV78" s="472"/>
      <c r="AW78" s="472"/>
      <c r="AX78" s="472"/>
      <c r="AY78" s="472"/>
      <c r="AZ78" s="472"/>
      <c r="BB78" s="470">
        <f>SUM(E78:AZ78)</f>
        <v>0</v>
      </c>
      <c r="BC78" s="470">
        <f>+BB78+BC17</f>
        <v>0</v>
      </c>
      <c r="BD78" s="444"/>
      <c r="BE78" s="173"/>
      <c r="BF78" s="336"/>
    </row>
    <row r="79" spans="1:58" outlineLevel="1" x14ac:dyDescent="0.35">
      <c r="A79" s="336">
        <f t="shared" si="29"/>
        <v>4</v>
      </c>
      <c r="B79" s="464" t="s">
        <v>50</v>
      </c>
      <c r="C79" s="509">
        <v>45291</v>
      </c>
      <c r="D79" s="470">
        <f>+BC18</f>
        <v>0</v>
      </c>
      <c r="E79" s="1306"/>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2"/>
      <c r="AD79" s="472"/>
      <c r="AE79" s="472"/>
      <c r="AF79" s="472"/>
      <c r="AG79" s="472"/>
      <c r="AH79" s="472"/>
      <c r="AI79" s="472"/>
      <c r="AJ79" s="472"/>
      <c r="AK79" s="472"/>
      <c r="AL79" s="472"/>
      <c r="AM79" s="471"/>
      <c r="AN79" s="472"/>
      <c r="AO79" s="472"/>
      <c r="AP79" s="472"/>
      <c r="AQ79" s="472"/>
      <c r="AR79" s="472"/>
      <c r="AS79" s="1290"/>
      <c r="AT79" s="472"/>
      <c r="AU79" s="472"/>
      <c r="AV79" s="472"/>
      <c r="AW79" s="472"/>
      <c r="AX79" s="472"/>
      <c r="AY79" s="472"/>
      <c r="AZ79" s="472"/>
      <c r="BB79" s="470">
        <f>SUM(E79:AZ79)</f>
        <v>0</v>
      </c>
      <c r="BC79" s="470">
        <f>+BB79+BC18</f>
        <v>0</v>
      </c>
      <c r="BD79" s="444"/>
      <c r="BE79" s="173"/>
      <c r="BF79" s="336"/>
    </row>
    <row r="80" spans="1:58" outlineLevel="1" x14ac:dyDescent="0.35">
      <c r="A80" s="336">
        <f t="shared" si="29"/>
        <v>5</v>
      </c>
      <c r="B80" s="464" t="s">
        <v>51</v>
      </c>
      <c r="C80" s="509">
        <v>45291</v>
      </c>
      <c r="D80" s="470">
        <f>+BC19</f>
        <v>21693170</v>
      </c>
      <c r="E80" s="1306">
        <f>'Common Adj'!G54</f>
        <v>-836935.66999999993</v>
      </c>
      <c r="F80" s="471"/>
      <c r="G80" s="471"/>
      <c r="H80" s="471"/>
      <c r="I80" s="471"/>
      <c r="J80" s="471"/>
      <c r="K80" s="471"/>
      <c r="L80" s="471"/>
      <c r="M80" s="471"/>
      <c r="N80" s="471"/>
      <c r="O80" s="471"/>
      <c r="P80" s="471"/>
      <c r="Q80" s="471"/>
      <c r="R80" s="471"/>
      <c r="S80" s="471"/>
      <c r="T80" s="471"/>
      <c r="U80" s="471"/>
      <c r="V80" s="471"/>
      <c r="W80" s="471"/>
      <c r="X80" s="471"/>
      <c r="Y80" s="471"/>
      <c r="Z80" s="471"/>
      <c r="AA80" s="471"/>
      <c r="AB80" s="471">
        <f>+'Common Adj'!PE38</f>
        <v>0</v>
      </c>
      <c r="AC80" s="472"/>
      <c r="AD80" s="472"/>
      <c r="AE80" s="472"/>
      <c r="AF80" s="472"/>
      <c r="AG80" s="472"/>
      <c r="AH80" s="472"/>
      <c r="AI80" s="472"/>
      <c r="AJ80" s="472"/>
      <c r="AK80" s="472"/>
      <c r="AL80" s="472"/>
      <c r="AM80" s="471"/>
      <c r="AN80" s="472"/>
      <c r="AO80" s="472"/>
      <c r="AP80" s="472">
        <f>'Gas Adj'!BI36</f>
        <v>-20081109</v>
      </c>
      <c r="AQ80" s="472">
        <f>-'Gas Adj'!CA33-'Gas Adj'!CA36</f>
        <v>-1336792.368297589</v>
      </c>
      <c r="AR80" s="472"/>
      <c r="AS80" s="1290"/>
      <c r="AT80" s="472"/>
      <c r="AU80" s="472"/>
      <c r="AV80" s="472"/>
      <c r="AW80" s="472"/>
      <c r="AX80" s="472"/>
      <c r="AY80" s="472"/>
      <c r="AZ80" s="472"/>
      <c r="BB80" s="470">
        <f>SUM(E80:AZ80)</f>
        <v>-22254837.03829759</v>
      </c>
      <c r="BC80" s="470">
        <f>+BB80+BC19</f>
        <v>-561667.03829758987</v>
      </c>
      <c r="BD80" s="444"/>
      <c r="BE80" s="173"/>
      <c r="BF80" s="336"/>
    </row>
    <row r="81" spans="1:58" outlineLevel="1" x14ac:dyDescent="0.35">
      <c r="A81" s="336">
        <f t="shared" si="29"/>
        <v>6</v>
      </c>
      <c r="B81" s="464" t="s">
        <v>58</v>
      </c>
      <c r="C81" s="509">
        <v>45291</v>
      </c>
      <c r="D81" s="473">
        <f>SUM(D77:D80)</f>
        <v>656858809.87275779</v>
      </c>
      <c r="E81" s="1291">
        <f t="shared" ref="E81:AS81" si="30">SUM(E77:E80)</f>
        <v>-58370822.895894624</v>
      </c>
      <c r="F81" s="436">
        <f t="shared" si="30"/>
        <v>0</v>
      </c>
      <c r="G81" s="436">
        <f t="shared" si="30"/>
        <v>-23455855.920842834</v>
      </c>
      <c r="H81" s="436">
        <f t="shared" si="30"/>
        <v>0</v>
      </c>
      <c r="I81" s="436">
        <f t="shared" si="30"/>
        <v>0</v>
      </c>
      <c r="J81" s="436">
        <f t="shared" si="30"/>
        <v>0</v>
      </c>
      <c r="K81" s="436">
        <f t="shared" si="30"/>
        <v>0</v>
      </c>
      <c r="L81" s="436">
        <f t="shared" si="30"/>
        <v>0</v>
      </c>
      <c r="M81" s="436">
        <f t="shared" si="30"/>
        <v>0</v>
      </c>
      <c r="N81" s="436">
        <f t="shared" si="30"/>
        <v>0</v>
      </c>
      <c r="O81" s="436">
        <f t="shared" si="30"/>
        <v>0</v>
      </c>
      <c r="P81" s="436">
        <f t="shared" si="30"/>
        <v>0</v>
      </c>
      <c r="Q81" s="436">
        <f t="shared" si="30"/>
        <v>0</v>
      </c>
      <c r="R81" s="436">
        <f t="shared" si="30"/>
        <v>0</v>
      </c>
      <c r="S81" s="436">
        <f t="shared" si="30"/>
        <v>0</v>
      </c>
      <c r="T81" s="436">
        <f t="shared" si="30"/>
        <v>0</v>
      </c>
      <c r="U81" s="436">
        <f t="shared" si="30"/>
        <v>0</v>
      </c>
      <c r="V81" s="436">
        <f t="shared" si="30"/>
        <v>0</v>
      </c>
      <c r="W81" s="436">
        <f t="shared" si="30"/>
        <v>0</v>
      </c>
      <c r="X81" s="436">
        <f t="shared" si="30"/>
        <v>0</v>
      </c>
      <c r="Y81" s="436">
        <f t="shared" si="30"/>
        <v>0</v>
      </c>
      <c r="Z81" s="436">
        <f t="shared" si="30"/>
        <v>0</v>
      </c>
      <c r="AA81" s="436">
        <f t="shared" si="30"/>
        <v>0</v>
      </c>
      <c r="AB81" s="436">
        <f t="shared" si="30"/>
        <v>0</v>
      </c>
      <c r="AC81" s="436">
        <f t="shared" si="30"/>
        <v>0</v>
      </c>
      <c r="AD81" s="436">
        <f t="shared" si="30"/>
        <v>0</v>
      </c>
      <c r="AE81" s="436">
        <f t="shared" si="30"/>
        <v>0</v>
      </c>
      <c r="AF81" s="436">
        <f t="shared" si="30"/>
        <v>0</v>
      </c>
      <c r="AG81" s="436">
        <f>SUM(AG77:AG80)</f>
        <v>0</v>
      </c>
      <c r="AH81" s="436">
        <f>SUM(AH77:AH80)</f>
        <v>0</v>
      </c>
      <c r="AI81" s="436">
        <f t="shared" si="30"/>
        <v>0</v>
      </c>
      <c r="AJ81" s="436"/>
      <c r="AK81" s="436">
        <f t="shared" si="30"/>
        <v>0</v>
      </c>
      <c r="AL81" s="436">
        <f t="shared" si="30"/>
        <v>0</v>
      </c>
      <c r="AM81" s="474">
        <f t="shared" si="30"/>
        <v>0</v>
      </c>
      <c r="AN81" s="474">
        <f t="shared" si="30"/>
        <v>0</v>
      </c>
      <c r="AO81" s="474">
        <f t="shared" si="30"/>
        <v>0</v>
      </c>
      <c r="AP81" s="436">
        <f t="shared" si="30"/>
        <v>-20081109</v>
      </c>
      <c r="AQ81" s="436">
        <f t="shared" si="30"/>
        <v>-1336792.368297589</v>
      </c>
      <c r="AR81" s="436">
        <f t="shared" si="30"/>
        <v>0</v>
      </c>
      <c r="AS81" s="1291">
        <f t="shared" si="30"/>
        <v>0</v>
      </c>
      <c r="AT81" s="436"/>
      <c r="AU81" s="436"/>
      <c r="AV81" s="436"/>
      <c r="AW81" s="436"/>
      <c r="AX81" s="436"/>
      <c r="AY81" s="436"/>
      <c r="AZ81" s="436"/>
      <c r="BB81" s="473">
        <f>SUM(BB77:BB80)</f>
        <v>-103244580.18503505</v>
      </c>
      <c r="BC81" s="473">
        <f>SUM(BC77:BC80)</f>
        <v>553614229.6877228</v>
      </c>
      <c r="BD81" s="444"/>
      <c r="BE81" s="173"/>
      <c r="BF81" s="336"/>
    </row>
    <row r="82" spans="1:58" outlineLevel="1" x14ac:dyDescent="0.35">
      <c r="A82" s="336">
        <f t="shared" si="29"/>
        <v>7</v>
      </c>
      <c r="B82" s="475"/>
      <c r="C82" s="509">
        <v>45291</v>
      </c>
      <c r="D82" s="470"/>
      <c r="E82" s="1290"/>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72"/>
      <c r="AM82" s="471"/>
      <c r="AN82" s="472"/>
      <c r="AO82" s="472"/>
      <c r="AP82" s="472"/>
      <c r="AQ82" s="472"/>
      <c r="AR82" s="472"/>
      <c r="AS82" s="1290"/>
      <c r="AT82" s="472"/>
      <c r="AU82" s="472"/>
      <c r="AV82" s="472"/>
      <c r="AW82" s="472"/>
      <c r="AX82" s="472"/>
      <c r="AY82" s="472"/>
      <c r="AZ82" s="472"/>
      <c r="BB82" s="470"/>
      <c r="BC82" s="470"/>
      <c r="BD82" s="444"/>
      <c r="BE82" s="173"/>
      <c r="BF82" s="336"/>
    </row>
    <row r="83" spans="1:58" outlineLevel="1" x14ac:dyDescent="0.35">
      <c r="A83" s="336">
        <f t="shared" si="29"/>
        <v>8</v>
      </c>
      <c r="B83" s="464" t="s">
        <v>52</v>
      </c>
      <c r="C83" s="509">
        <v>45291</v>
      </c>
      <c r="D83" s="466"/>
      <c r="E83" s="1279"/>
      <c r="AM83" s="341"/>
      <c r="AS83" s="1279"/>
      <c r="BB83" s="466"/>
      <c r="BC83" s="466"/>
      <c r="BD83" s="444"/>
      <c r="BE83" s="173"/>
      <c r="BF83" s="336"/>
    </row>
    <row r="84" spans="1:58" outlineLevel="1" x14ac:dyDescent="0.35">
      <c r="A84" s="336">
        <f t="shared" si="29"/>
        <v>9</v>
      </c>
      <c r="C84" s="509">
        <v>45291</v>
      </c>
      <c r="D84" s="466"/>
      <c r="E84" s="1279"/>
      <c r="AM84" s="341"/>
      <c r="AS84" s="1279"/>
      <c r="BB84" s="466"/>
      <c r="BC84" s="466"/>
      <c r="BD84" s="444"/>
      <c r="BE84" s="173"/>
      <c r="BF84" s="336"/>
    </row>
    <row r="85" spans="1:58" outlineLevel="1" x14ac:dyDescent="0.35">
      <c r="A85" s="336">
        <f t="shared" si="29"/>
        <v>10</v>
      </c>
      <c r="B85" s="464" t="s">
        <v>53</v>
      </c>
      <c r="C85" s="509">
        <v>45291</v>
      </c>
      <c r="D85" s="466"/>
      <c r="E85" s="1279"/>
      <c r="AM85" s="341"/>
      <c r="AS85" s="1279"/>
      <c r="BB85" s="466"/>
      <c r="BC85" s="466"/>
      <c r="BD85" s="444"/>
      <c r="BE85" s="173"/>
      <c r="BF85" s="336"/>
    </row>
    <row r="86" spans="1:58" outlineLevel="1" x14ac:dyDescent="0.35">
      <c r="A86" s="336">
        <f t="shared" si="29"/>
        <v>11</v>
      </c>
      <c r="B86" s="464" t="s">
        <v>54</v>
      </c>
      <c r="C86" s="509">
        <v>45291</v>
      </c>
      <c r="D86" s="476">
        <f>+BC25</f>
        <v>0</v>
      </c>
      <c r="E86" s="1292"/>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420"/>
      <c r="AN86" s="173"/>
      <c r="AO86" s="173"/>
      <c r="AP86" s="173"/>
      <c r="AQ86" s="173"/>
      <c r="AR86" s="173"/>
      <c r="AS86" s="1292"/>
      <c r="AT86" s="173"/>
      <c r="AU86" s="173"/>
      <c r="AV86" s="173"/>
      <c r="AW86" s="173"/>
      <c r="AX86" s="173"/>
      <c r="AY86" s="173"/>
      <c r="AZ86" s="173"/>
      <c r="BB86" s="476">
        <f>SUM(E86:AZ86)</f>
        <v>0</v>
      </c>
      <c r="BC86" s="476">
        <f>+BB86+BC25</f>
        <v>0</v>
      </c>
      <c r="BD86" s="444"/>
      <c r="BE86" s="173"/>
      <c r="BF86" s="336"/>
    </row>
    <row r="87" spans="1:58" outlineLevel="1" x14ac:dyDescent="0.35">
      <c r="A87" s="336">
        <f t="shared" si="29"/>
        <v>12</v>
      </c>
      <c r="B87" s="464" t="s">
        <v>55</v>
      </c>
      <c r="C87" s="509">
        <v>45291</v>
      </c>
      <c r="D87" s="470">
        <f>+BC26</f>
        <v>0</v>
      </c>
      <c r="E87" s="1290"/>
      <c r="F87" s="472"/>
      <c r="G87" s="472"/>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2"/>
      <c r="AJ87" s="472"/>
      <c r="AK87" s="472"/>
      <c r="AL87" s="472"/>
      <c r="AM87" s="471"/>
      <c r="AN87" s="472"/>
      <c r="AO87" s="472"/>
      <c r="AP87" s="472"/>
      <c r="AQ87" s="472"/>
      <c r="AR87" s="472"/>
      <c r="AS87" s="1290"/>
      <c r="AT87" s="472"/>
      <c r="AU87" s="472"/>
      <c r="AV87" s="472"/>
      <c r="AW87" s="472"/>
      <c r="AX87" s="472"/>
      <c r="AY87" s="472"/>
      <c r="AZ87" s="472"/>
      <c r="BB87" s="470">
        <f>SUM(E87:AZ87)</f>
        <v>0</v>
      </c>
      <c r="BC87" s="470">
        <f>+BB87+BC26</f>
        <v>0</v>
      </c>
      <c r="BD87" s="444"/>
      <c r="BE87" s="173"/>
      <c r="BF87" s="336"/>
    </row>
    <row r="88" spans="1:58" outlineLevel="1" x14ac:dyDescent="0.35">
      <c r="A88" s="336">
        <f t="shared" si="29"/>
        <v>13</v>
      </c>
      <c r="B88" s="464" t="s">
        <v>56</v>
      </c>
      <c r="C88" s="509">
        <v>45291</v>
      </c>
      <c r="D88" s="470">
        <f>+BC27</f>
        <v>0</v>
      </c>
      <c r="E88" s="1290"/>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1"/>
      <c r="AN88" s="472"/>
      <c r="AO88" s="472"/>
      <c r="AP88" s="472"/>
      <c r="AQ88" s="472"/>
      <c r="AR88" s="472"/>
      <c r="AS88" s="1290"/>
      <c r="AT88" s="472"/>
      <c r="AU88" s="472"/>
      <c r="AV88" s="472"/>
      <c r="AW88" s="472"/>
      <c r="AX88" s="472"/>
      <c r="AY88" s="472"/>
      <c r="AZ88" s="472"/>
      <c r="BB88" s="470">
        <f>SUM(E88:AZ88)</f>
        <v>0</v>
      </c>
      <c r="BC88" s="470">
        <f>+BB88+BC27</f>
        <v>0</v>
      </c>
      <c r="BD88" s="444"/>
      <c r="BE88" s="173"/>
      <c r="BF88" s="336"/>
    </row>
    <row r="89" spans="1:58" outlineLevel="1" x14ac:dyDescent="0.35">
      <c r="A89" s="336">
        <f t="shared" si="29"/>
        <v>14</v>
      </c>
      <c r="B89" s="329" t="s">
        <v>57</v>
      </c>
      <c r="C89" s="509">
        <v>45291</v>
      </c>
      <c r="D89" s="470">
        <f>+BC28</f>
        <v>0</v>
      </c>
      <c r="E89" s="1290"/>
      <c r="F89" s="472"/>
      <c r="G89" s="472"/>
      <c r="H89" s="472"/>
      <c r="I89" s="472"/>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K89" s="472"/>
      <c r="AL89" s="472"/>
      <c r="AM89" s="471"/>
      <c r="AN89" s="472"/>
      <c r="AO89" s="472"/>
      <c r="AP89" s="472"/>
      <c r="AQ89" s="472"/>
      <c r="AR89" s="472"/>
      <c r="AS89" s="1290"/>
      <c r="AT89" s="472"/>
      <c r="AU89" s="472"/>
      <c r="AV89" s="472"/>
      <c r="AW89" s="472"/>
      <c r="AX89" s="472"/>
      <c r="AY89" s="472"/>
      <c r="AZ89" s="472"/>
      <c r="BB89" s="470">
        <f>SUM(E89:AZ89)</f>
        <v>0</v>
      </c>
      <c r="BC89" s="470">
        <f>+BB89+BC28</f>
        <v>0</v>
      </c>
      <c r="BD89" s="444"/>
      <c r="BE89" s="173"/>
      <c r="BF89" s="336"/>
    </row>
    <row r="90" spans="1:58" outlineLevel="1" x14ac:dyDescent="0.35">
      <c r="A90" s="336">
        <f t="shared" si="29"/>
        <v>15</v>
      </c>
      <c r="B90" s="464" t="s">
        <v>1</v>
      </c>
      <c r="C90" s="509">
        <v>45291</v>
      </c>
      <c r="D90" s="477">
        <f>SUM(D85:D89)</f>
        <v>0</v>
      </c>
      <c r="E90" s="1293">
        <f t="shared" ref="E90:AS90" si="31">SUM(E85:E89)</f>
        <v>0</v>
      </c>
      <c r="F90" s="479">
        <f t="shared" si="31"/>
        <v>0</v>
      </c>
      <c r="G90" s="479">
        <f t="shared" si="31"/>
        <v>0</v>
      </c>
      <c r="H90" s="479">
        <f t="shared" si="31"/>
        <v>0</v>
      </c>
      <c r="I90" s="479">
        <f t="shared" si="31"/>
        <v>0</v>
      </c>
      <c r="J90" s="479">
        <f t="shared" si="31"/>
        <v>0</v>
      </c>
      <c r="K90" s="479">
        <f t="shared" si="31"/>
        <v>0</v>
      </c>
      <c r="L90" s="479">
        <f t="shared" si="31"/>
        <v>0</v>
      </c>
      <c r="M90" s="479">
        <f t="shared" si="31"/>
        <v>0</v>
      </c>
      <c r="N90" s="479">
        <f t="shared" si="31"/>
        <v>0</v>
      </c>
      <c r="O90" s="479">
        <f t="shared" si="31"/>
        <v>0</v>
      </c>
      <c r="P90" s="479">
        <f t="shared" si="31"/>
        <v>0</v>
      </c>
      <c r="Q90" s="479">
        <f t="shared" si="31"/>
        <v>0</v>
      </c>
      <c r="R90" s="479">
        <f t="shared" si="31"/>
        <v>0</v>
      </c>
      <c r="S90" s="479">
        <f t="shared" si="31"/>
        <v>0</v>
      </c>
      <c r="T90" s="479">
        <f t="shared" si="31"/>
        <v>0</v>
      </c>
      <c r="U90" s="479">
        <f t="shared" si="31"/>
        <v>0</v>
      </c>
      <c r="V90" s="479">
        <f t="shared" si="31"/>
        <v>0</v>
      </c>
      <c r="W90" s="479">
        <f t="shared" si="31"/>
        <v>0</v>
      </c>
      <c r="X90" s="479">
        <f t="shared" si="31"/>
        <v>0</v>
      </c>
      <c r="Y90" s="479">
        <f t="shared" si="31"/>
        <v>0</v>
      </c>
      <c r="Z90" s="479">
        <f t="shared" si="31"/>
        <v>0</v>
      </c>
      <c r="AA90" s="479">
        <f t="shared" si="31"/>
        <v>0</v>
      </c>
      <c r="AB90" s="479">
        <f t="shared" si="31"/>
        <v>0</v>
      </c>
      <c r="AC90" s="479">
        <f t="shared" si="31"/>
        <v>0</v>
      </c>
      <c r="AD90" s="479">
        <f t="shared" si="31"/>
        <v>0</v>
      </c>
      <c r="AE90" s="479">
        <f t="shared" si="31"/>
        <v>0</v>
      </c>
      <c r="AF90" s="479">
        <f t="shared" si="31"/>
        <v>0</v>
      </c>
      <c r="AG90" s="479">
        <f>SUM(AG85:AG89)</f>
        <v>0</v>
      </c>
      <c r="AH90" s="479">
        <f>SUM(AH85:AH89)</f>
        <v>0</v>
      </c>
      <c r="AI90" s="479">
        <f t="shared" si="31"/>
        <v>0</v>
      </c>
      <c r="AJ90" s="479"/>
      <c r="AK90" s="479">
        <f t="shared" si="31"/>
        <v>0</v>
      </c>
      <c r="AL90" s="479">
        <f t="shared" si="31"/>
        <v>0</v>
      </c>
      <c r="AM90" s="479">
        <f t="shared" si="31"/>
        <v>0</v>
      </c>
      <c r="AN90" s="479">
        <f t="shared" si="31"/>
        <v>0</v>
      </c>
      <c r="AO90" s="479">
        <f t="shared" si="31"/>
        <v>0</v>
      </c>
      <c r="AP90" s="479">
        <f t="shared" si="31"/>
        <v>0</v>
      </c>
      <c r="AQ90" s="479">
        <f t="shared" si="31"/>
        <v>0</v>
      </c>
      <c r="AR90" s="479">
        <f t="shared" si="31"/>
        <v>0</v>
      </c>
      <c r="AS90" s="1293">
        <f t="shared" si="31"/>
        <v>0</v>
      </c>
      <c r="AT90" s="479"/>
      <c r="AU90" s="479"/>
      <c r="AV90" s="479"/>
      <c r="AW90" s="479"/>
      <c r="AX90" s="479"/>
      <c r="AY90" s="479"/>
      <c r="AZ90" s="479"/>
      <c r="BB90" s="477">
        <f>SUM(BB85:BB89)</f>
        <v>0</v>
      </c>
      <c r="BC90" s="477">
        <f>SUM(BC85:BC89)</f>
        <v>0</v>
      </c>
      <c r="BD90" s="444"/>
      <c r="BE90" s="173"/>
      <c r="BF90" s="336"/>
    </row>
    <row r="91" spans="1:58" outlineLevel="1" x14ac:dyDescent="0.35">
      <c r="A91" s="336">
        <f t="shared" si="29"/>
        <v>16</v>
      </c>
      <c r="B91" s="464"/>
      <c r="C91" s="509">
        <v>45291</v>
      </c>
      <c r="D91" s="476"/>
      <c r="E91" s="1292"/>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292"/>
      <c r="AT91" s="173"/>
      <c r="AU91" s="173"/>
      <c r="AV91" s="173"/>
      <c r="AW91" s="173"/>
      <c r="AX91" s="173"/>
      <c r="AY91" s="173"/>
      <c r="AZ91" s="173"/>
      <c r="BB91" s="476"/>
      <c r="BC91" s="476"/>
      <c r="BD91" s="444"/>
      <c r="BE91" s="173"/>
      <c r="BF91" s="336"/>
    </row>
    <row r="92" spans="1:58" outlineLevel="1" x14ac:dyDescent="0.35">
      <c r="A92" s="336">
        <f t="shared" si="29"/>
        <v>17</v>
      </c>
      <c r="B92" s="480" t="s">
        <v>59</v>
      </c>
      <c r="C92" s="509">
        <v>45291</v>
      </c>
      <c r="D92" s="470">
        <f t="shared" ref="D92:D105" si="32">+BC31</f>
        <v>7851364.4197196011</v>
      </c>
      <c r="E92" s="1290"/>
      <c r="F92" s="472"/>
      <c r="G92" s="472"/>
      <c r="H92" s="472"/>
      <c r="I92" s="472"/>
      <c r="J92" s="472"/>
      <c r="K92" s="472"/>
      <c r="L92" s="472"/>
      <c r="M92" s="472"/>
      <c r="N92" s="472"/>
      <c r="O92" s="472">
        <f>'Common Adj'!GE18+'Common Adj'!GE17+'Common Adj'!GE19</f>
        <v>17167.652464941577</v>
      </c>
      <c r="P92" s="472"/>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1"/>
      <c r="AN92" s="472"/>
      <c r="AO92" s="472"/>
      <c r="AP92" s="472"/>
      <c r="AQ92" s="472"/>
      <c r="AR92" s="472"/>
      <c r="AS92" s="1290"/>
      <c r="AT92" s="173"/>
      <c r="AU92" s="173"/>
      <c r="AV92" s="173"/>
      <c r="AW92" s="173"/>
      <c r="AX92" s="173"/>
      <c r="AY92" s="173"/>
      <c r="AZ92" s="173"/>
      <c r="BB92" s="470">
        <f t="shared" ref="BB92:BB105" si="33">SUM(E92:AZ92)</f>
        <v>17167.652464941577</v>
      </c>
      <c r="BC92" s="476">
        <f t="shared" ref="BC92:BC105" si="34">+BB92+BC31</f>
        <v>7868532.0721845422</v>
      </c>
      <c r="BD92" s="444"/>
      <c r="BE92" s="173">
        <f>+'DPK-8 Filtered Summary'!CB28-BC92</f>
        <v>-7868532.0721845422</v>
      </c>
      <c r="BF92" s="336"/>
    </row>
    <row r="93" spans="1:58" outlineLevel="1" x14ac:dyDescent="0.35">
      <c r="A93" s="336">
        <f t="shared" si="29"/>
        <v>18</v>
      </c>
      <c r="B93" s="464" t="s">
        <v>60</v>
      </c>
      <c r="C93" s="509">
        <v>45291</v>
      </c>
      <c r="D93" s="470">
        <f t="shared" si="32"/>
        <v>0</v>
      </c>
      <c r="E93" s="1290"/>
      <c r="F93" s="472"/>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472"/>
      <c r="AG93" s="472"/>
      <c r="AH93" s="472"/>
      <c r="AI93" s="472"/>
      <c r="AJ93" s="472"/>
      <c r="AK93" s="472"/>
      <c r="AL93" s="472"/>
      <c r="AM93" s="471"/>
      <c r="AN93" s="472"/>
      <c r="AO93" s="472"/>
      <c r="AP93" s="472"/>
      <c r="AQ93" s="472"/>
      <c r="AR93" s="472"/>
      <c r="AS93" s="1290"/>
      <c r="AT93" s="472"/>
      <c r="AU93" s="472"/>
      <c r="AV93" s="472"/>
      <c r="AW93" s="472"/>
      <c r="AX93" s="472"/>
      <c r="AY93" s="472"/>
      <c r="AZ93" s="472"/>
      <c r="BB93" s="470">
        <f t="shared" si="33"/>
        <v>0</v>
      </c>
      <c r="BC93" s="470">
        <f t="shared" si="34"/>
        <v>0</v>
      </c>
      <c r="BD93" s="444"/>
      <c r="BE93" s="173">
        <f>+'DPK-8 Filtered Summary'!CB29-BC93</f>
        <v>0</v>
      </c>
      <c r="BF93" s="336"/>
    </row>
    <row r="94" spans="1:58" outlineLevel="1" x14ac:dyDescent="0.35">
      <c r="A94" s="336">
        <f t="shared" si="29"/>
        <v>19</v>
      </c>
      <c r="B94" s="464" t="s">
        <v>61</v>
      </c>
      <c r="C94" s="509">
        <v>45291</v>
      </c>
      <c r="D94" s="470">
        <f t="shared" si="32"/>
        <v>64343928.925504744</v>
      </c>
      <c r="E94" s="1290"/>
      <c r="F94" s="472"/>
      <c r="G94" s="472"/>
      <c r="H94" s="472"/>
      <c r="I94" s="472"/>
      <c r="J94" s="472"/>
      <c r="K94" s="472"/>
      <c r="L94" s="472"/>
      <c r="M94" s="472"/>
      <c r="N94" s="472"/>
      <c r="O94" s="472">
        <f>+'Common Adj'!GE21</f>
        <v>102514.21329824883</v>
      </c>
      <c r="P94" s="472"/>
      <c r="Q94" s="472"/>
      <c r="R94" s="472"/>
      <c r="S94" s="472"/>
      <c r="T94" s="472"/>
      <c r="U94" s="472"/>
      <c r="V94" s="472"/>
      <c r="W94" s="472"/>
      <c r="X94" s="472"/>
      <c r="Y94" s="472"/>
      <c r="Z94" s="472"/>
      <c r="AA94" s="472"/>
      <c r="AB94" s="472"/>
      <c r="AC94" s="472"/>
      <c r="AD94" s="472"/>
      <c r="AE94" s="472"/>
      <c r="AF94" s="472"/>
      <c r="AG94" s="472"/>
      <c r="AH94" s="472"/>
      <c r="AI94" s="472"/>
      <c r="AJ94" s="472"/>
      <c r="AK94" s="472"/>
      <c r="AL94" s="472"/>
      <c r="AM94" s="471"/>
      <c r="AN94" s="472"/>
      <c r="AO94" s="472"/>
      <c r="AP94" s="472"/>
      <c r="AQ94" s="472"/>
      <c r="AR94" s="472"/>
      <c r="AS94" s="1290"/>
      <c r="AT94" s="472"/>
      <c r="AU94" s="472"/>
      <c r="AV94" s="472"/>
      <c r="AW94" s="472"/>
      <c r="AX94" s="472"/>
      <c r="AY94" s="472"/>
      <c r="AZ94" s="472"/>
      <c r="BB94" s="470">
        <f t="shared" si="33"/>
        <v>102514.21329824883</v>
      </c>
      <c r="BC94" s="470">
        <f t="shared" si="34"/>
        <v>64446443.13880299</v>
      </c>
      <c r="BD94" s="444"/>
      <c r="BE94" s="173">
        <f>+'DPK-8 Filtered Summary'!CB30-BC94</f>
        <v>-64446443.13880299</v>
      </c>
      <c r="BF94" s="336"/>
    </row>
    <row r="95" spans="1:58" outlineLevel="1" x14ac:dyDescent="0.35">
      <c r="A95" s="336">
        <f t="shared" si="29"/>
        <v>20</v>
      </c>
      <c r="B95" s="464" t="s">
        <v>62</v>
      </c>
      <c r="C95" s="509">
        <v>45291</v>
      </c>
      <c r="D95" s="470">
        <f t="shared" si="32"/>
        <v>23763613.908030342</v>
      </c>
      <c r="E95" s="1290">
        <f>'Common Adj'!G64</f>
        <v>-168750.04899203134</v>
      </c>
      <c r="F95" s="472"/>
      <c r="G95" s="472">
        <f>'Common Adj'!AQ22</f>
        <v>-67810.879467156628</v>
      </c>
      <c r="H95" s="472"/>
      <c r="I95" s="472"/>
      <c r="J95" s="472"/>
      <c r="K95" s="472"/>
      <c r="L95" s="472"/>
      <c r="M95" s="472"/>
      <c r="N95" s="472"/>
      <c r="O95" s="472">
        <f>+'Common Adj'!GE22</f>
        <v>22922.424210030236</v>
      </c>
      <c r="P95" s="472"/>
      <c r="Q95" s="472"/>
      <c r="R95" s="472"/>
      <c r="S95" s="472"/>
      <c r="T95" s="472"/>
      <c r="U95" s="472"/>
      <c r="V95" s="472"/>
      <c r="W95" s="472"/>
      <c r="X95" s="472"/>
      <c r="Y95" s="472"/>
      <c r="Z95" s="472"/>
      <c r="AA95" s="472"/>
      <c r="AB95" s="472"/>
      <c r="AC95" s="472"/>
      <c r="AD95" s="472"/>
      <c r="AE95" s="472"/>
      <c r="AF95" s="472"/>
      <c r="AG95" s="472"/>
      <c r="AH95" s="472"/>
      <c r="AI95" s="472"/>
      <c r="AJ95" s="472"/>
      <c r="AK95" s="472"/>
      <c r="AL95" s="472"/>
      <c r="AM95" s="471"/>
      <c r="AN95" s="472"/>
      <c r="AO95" s="472"/>
      <c r="AP95" s="472">
        <f>'Gas Adj'!BI40</f>
        <v>-58054.486119000001</v>
      </c>
      <c r="AQ95" s="472"/>
      <c r="AR95" s="472"/>
      <c r="AS95" s="1290"/>
      <c r="AT95" s="472"/>
      <c r="AU95" s="472"/>
      <c r="AV95" s="472"/>
      <c r="AW95" s="472"/>
      <c r="AX95" s="472"/>
      <c r="AY95" s="472"/>
      <c r="AZ95" s="472"/>
      <c r="BB95" s="470">
        <f t="shared" si="33"/>
        <v>-271692.99036815774</v>
      </c>
      <c r="BC95" s="470">
        <f t="shared" si="34"/>
        <v>23491920.917662185</v>
      </c>
      <c r="BD95" s="444"/>
      <c r="BE95" s="173">
        <f>+'DPK-8 Filtered Summary'!CB31-BC95</f>
        <v>-23491920.917662185</v>
      </c>
      <c r="BF95" s="336"/>
    </row>
    <row r="96" spans="1:58" outlineLevel="1" x14ac:dyDescent="0.35">
      <c r="A96" s="336">
        <f t="shared" si="29"/>
        <v>21</v>
      </c>
      <c r="B96" s="464" t="s">
        <v>63</v>
      </c>
      <c r="C96" s="509">
        <v>45291</v>
      </c>
      <c r="D96" s="470">
        <f t="shared" si="32"/>
        <v>2396131.6949406434</v>
      </c>
      <c r="E96" s="1290"/>
      <c r="F96" s="472"/>
      <c r="G96" s="472"/>
      <c r="H96" s="472"/>
      <c r="I96" s="472"/>
      <c r="J96" s="472"/>
      <c r="K96" s="472"/>
      <c r="L96" s="472"/>
      <c r="M96" s="472"/>
      <c r="N96" s="472"/>
      <c r="O96" s="472">
        <f>+'Common Adj'!GE23+'Common Adj'!GE24</f>
        <v>3947.409354984231</v>
      </c>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1"/>
      <c r="AN96" s="472"/>
      <c r="AO96" s="472"/>
      <c r="AP96" s="472"/>
      <c r="AQ96" s="472"/>
      <c r="AR96" s="472"/>
      <c r="AS96" s="1290"/>
      <c r="AT96" s="472"/>
      <c r="AU96" s="472"/>
      <c r="AV96" s="472"/>
      <c r="AW96" s="472"/>
      <c r="AX96" s="472"/>
      <c r="AY96" s="472"/>
      <c r="AZ96" s="472"/>
      <c r="BB96" s="470">
        <f t="shared" si="33"/>
        <v>3947.409354984231</v>
      </c>
      <c r="BC96" s="470">
        <f t="shared" si="34"/>
        <v>2400079.1042956277</v>
      </c>
      <c r="BD96" s="444"/>
      <c r="BE96" s="173">
        <f>+'DPK-8 Filtered Summary'!CB32-BC96</f>
        <v>-2400079.1042956277</v>
      </c>
      <c r="BF96" s="336"/>
    </row>
    <row r="97" spans="1:58" outlineLevel="1" x14ac:dyDescent="0.35">
      <c r="A97" s="336">
        <f t="shared" si="29"/>
        <v>22</v>
      </c>
      <c r="B97" s="464" t="s">
        <v>64</v>
      </c>
      <c r="C97" s="509">
        <v>45291</v>
      </c>
      <c r="D97" s="470">
        <f t="shared" si="32"/>
        <v>0</v>
      </c>
      <c r="E97" s="1290"/>
      <c r="F97" s="472"/>
      <c r="G97" s="472"/>
      <c r="H97" s="472"/>
      <c r="I97" s="472"/>
      <c r="J97" s="472"/>
      <c r="K97" s="472"/>
      <c r="L97" s="472"/>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472"/>
      <c r="AJ97" s="472"/>
      <c r="AK97" s="472"/>
      <c r="AL97" s="472"/>
      <c r="AM97" s="471"/>
      <c r="AN97" s="472"/>
      <c r="AO97" s="472"/>
      <c r="AP97" s="472"/>
      <c r="AQ97" s="472"/>
      <c r="AR97" s="472"/>
      <c r="AS97" s="1290"/>
      <c r="AT97" s="472"/>
      <c r="AU97" s="472"/>
      <c r="AV97" s="472"/>
      <c r="AW97" s="472"/>
      <c r="AX97" s="472"/>
      <c r="AY97" s="472"/>
      <c r="AZ97" s="472"/>
      <c r="BB97" s="470">
        <f t="shared" si="33"/>
        <v>0</v>
      </c>
      <c r="BC97" s="470">
        <f t="shared" si="34"/>
        <v>0</v>
      </c>
      <c r="BD97" s="444"/>
      <c r="BE97" s="173">
        <f>+'DPK-8 Filtered Summary'!CB33-BC97</f>
        <v>0</v>
      </c>
      <c r="BF97" s="336"/>
    </row>
    <row r="98" spans="1:58" outlineLevel="1" x14ac:dyDescent="0.35">
      <c r="A98" s="336">
        <f t="shared" si="29"/>
        <v>23</v>
      </c>
      <c r="B98" s="464" t="s">
        <v>65</v>
      </c>
      <c r="C98" s="509">
        <v>45291</v>
      </c>
      <c r="D98" s="470">
        <f t="shared" si="32"/>
        <v>74037872.21941264</v>
      </c>
      <c r="E98" s="1290">
        <f>'Common Adj'!G65</f>
        <v>-233483.29158357851</v>
      </c>
      <c r="F98" s="472"/>
      <c r="G98" s="472">
        <f>'Common Adj'!AQ23</f>
        <v>-93823.423683371337</v>
      </c>
      <c r="H98" s="472"/>
      <c r="I98" s="472"/>
      <c r="J98" s="472"/>
      <c r="K98" s="472"/>
      <c r="L98" s="472"/>
      <c r="M98" s="472">
        <f>'Common Adj'!EU23</f>
        <v>257699.55792073626</v>
      </c>
      <c r="N98" s="472"/>
      <c r="O98" s="472">
        <f>+'Common Adj'!GE25</f>
        <v>68731.311649185256</v>
      </c>
      <c r="P98" s="472"/>
      <c r="Q98" s="472"/>
      <c r="R98" s="472">
        <f>'Common Adj'!IG18</f>
        <v>0</v>
      </c>
      <c r="S98" s="472"/>
      <c r="T98" s="472"/>
      <c r="U98" s="472"/>
      <c r="V98" s="472"/>
      <c r="W98" s="472"/>
      <c r="X98" s="472"/>
      <c r="Y98" s="472"/>
      <c r="Z98" s="472"/>
      <c r="AA98" s="472"/>
      <c r="AB98" s="472"/>
      <c r="AC98" s="472"/>
      <c r="AD98" s="472"/>
      <c r="AE98" s="472"/>
      <c r="AF98" s="472"/>
      <c r="AG98" s="472"/>
      <c r="AH98" s="472"/>
      <c r="AI98" s="472"/>
      <c r="AJ98" s="472"/>
      <c r="AK98" s="472"/>
      <c r="AL98" s="472"/>
      <c r="AM98" s="471"/>
      <c r="AN98" s="472"/>
      <c r="AO98" s="472"/>
      <c r="AP98" s="472">
        <f>'Gas Adj'!BI41</f>
        <v>-80324.436000000002</v>
      </c>
      <c r="AQ98" s="472"/>
      <c r="AR98" s="472"/>
      <c r="AS98" s="1290"/>
      <c r="AT98" s="472"/>
      <c r="AU98" s="472"/>
      <c r="AV98" s="472"/>
      <c r="AW98" s="472"/>
      <c r="AX98" s="472"/>
      <c r="AY98" s="472"/>
      <c r="AZ98" s="472"/>
      <c r="BB98" s="470">
        <f t="shared" si="33"/>
        <v>-81200.281697028331</v>
      </c>
      <c r="BC98" s="470">
        <f t="shared" si="34"/>
        <v>73956671.937715605</v>
      </c>
      <c r="BD98" s="444"/>
      <c r="BE98" s="173">
        <f>+'DPK-8 Filtered Summary'!CB34-BC98</f>
        <v>-73956671.937715605</v>
      </c>
      <c r="BF98" s="336"/>
    </row>
    <row r="99" spans="1:58" outlineLevel="1" x14ac:dyDescent="0.35">
      <c r="A99" s="336">
        <f t="shared" si="29"/>
        <v>24</v>
      </c>
      <c r="B99" s="464" t="s">
        <v>66</v>
      </c>
      <c r="C99" s="509">
        <v>45291</v>
      </c>
      <c r="D99" s="470">
        <f t="shared" si="32"/>
        <v>176831094.95370534</v>
      </c>
      <c r="E99" s="1290"/>
      <c r="F99" s="472"/>
      <c r="G99" s="472"/>
      <c r="H99" s="472"/>
      <c r="I99" s="472"/>
      <c r="J99" s="472"/>
      <c r="K99" s="472"/>
      <c r="L99" s="472"/>
      <c r="M99" s="472"/>
      <c r="N99" s="472"/>
      <c r="O99" s="472"/>
      <c r="P99" s="472"/>
      <c r="Q99" s="472"/>
      <c r="R99" s="472"/>
      <c r="S99" s="472"/>
      <c r="T99" s="472"/>
      <c r="U99" s="472"/>
      <c r="V99" s="472"/>
      <c r="W99" s="472"/>
      <c r="X99" s="472"/>
      <c r="Y99" s="472"/>
      <c r="Z99" s="472"/>
      <c r="AA99" s="472">
        <f>'Common Adj'!OM32</f>
        <v>-2906116.24</v>
      </c>
      <c r="AB99" s="472"/>
      <c r="AC99" s="472"/>
      <c r="AD99" s="472"/>
      <c r="AE99" s="472">
        <f>'Common Adj'!RH17+'Common Adj'!RH18</f>
        <v>609100.87321215868</v>
      </c>
      <c r="AF99" s="472">
        <f>'Common Adj'!RZ16+'Common Adj'!RZ17</f>
        <v>-42632.08</v>
      </c>
      <c r="AG99" s="472">
        <f>'Common Adj'!$SR$16+'Common Adj'!$SR$17</f>
        <v>425404.82954999997</v>
      </c>
      <c r="AH99" s="472">
        <f>'Common Adj'!$SR$34+'Common Adj'!$SR$35</f>
        <v>403751.6999999999</v>
      </c>
      <c r="AI99" s="472">
        <f>'Common Adj'!$SR$52+'Common Adj'!$SR$53</f>
        <v>617.78</v>
      </c>
      <c r="AJ99" s="472">
        <f>'Common Adj'!$SR$70+'Common Adj'!$SR$71</f>
        <v>123997.84566999998</v>
      </c>
      <c r="AK99" s="472"/>
      <c r="AL99" s="472"/>
      <c r="AM99" s="471"/>
      <c r="AN99" s="472"/>
      <c r="AO99" s="472"/>
      <c r="AP99" s="472">
        <f>'Gas Adj'!BI42</f>
        <v>-6303193.7592588468</v>
      </c>
      <c r="AQ99" s="472"/>
      <c r="AR99" s="472">
        <f>'Gas Adj'!CS25</f>
        <v>-343654.17358200159</v>
      </c>
      <c r="AS99" s="1290">
        <f>'Gas Adj'!DB25</f>
        <v>0</v>
      </c>
      <c r="AT99" s="173"/>
      <c r="AW99" s="356"/>
      <c r="AX99" s="341"/>
      <c r="BB99" s="470">
        <f t="shared" si="33"/>
        <v>-8032723.2244086899</v>
      </c>
      <c r="BC99" s="470">
        <f t="shared" si="34"/>
        <v>168798371.72929665</v>
      </c>
      <c r="BD99" s="444"/>
      <c r="BE99" s="173">
        <f>+'DPK-8 Filtered Summary'!CB35-BC99</f>
        <v>-168798371.72929665</v>
      </c>
      <c r="BF99" s="336"/>
    </row>
    <row r="100" spans="1:58" outlineLevel="1" x14ac:dyDescent="0.35">
      <c r="A100" s="336">
        <f t="shared" si="29"/>
        <v>25</v>
      </c>
      <c r="B100" s="464" t="s">
        <v>67</v>
      </c>
      <c r="C100" s="509">
        <v>45291</v>
      </c>
      <c r="D100" s="470">
        <f t="shared" si="32"/>
        <v>25155824.610874496</v>
      </c>
      <c r="E100" s="1290"/>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f>'Common Adj'!RH19+'Common Adj'!RH20</f>
        <v>-231352.7985272482</v>
      </c>
      <c r="AF100" s="472">
        <f>'Common Adj'!RZ18+'Common Adj'!RZ19</f>
        <v>0</v>
      </c>
      <c r="AG100" s="472">
        <f>'Common Adj'!$SR$18+'Common Adj'!$SR$19</f>
        <v>185866.22726000001</v>
      </c>
      <c r="AH100" s="472">
        <f>'Common Adj'!$SR$36+'Common Adj'!$SR$37</f>
        <v>0</v>
      </c>
      <c r="AI100" s="472">
        <f>'Common Adj'!$SR$54+'Common Adj'!$SR$55</f>
        <v>0</v>
      </c>
      <c r="AJ100" s="472">
        <f>'Common Adj'!$SR$72+'Common Adj'!$SR$73</f>
        <v>256512.96409999998</v>
      </c>
      <c r="AK100" s="472"/>
      <c r="AL100" s="472"/>
      <c r="AM100" s="471"/>
      <c r="AN100" s="472"/>
      <c r="AO100" s="472"/>
      <c r="AP100" s="472"/>
      <c r="AQ100" s="472"/>
      <c r="AR100" s="472">
        <f>'Gas Adj'!CS26</f>
        <v>-74624.310999999871</v>
      </c>
      <c r="AS100" s="1290">
        <f>'Gas Adj'!DB26</f>
        <v>0</v>
      </c>
      <c r="AT100" s="472"/>
      <c r="AU100" s="472"/>
      <c r="AV100" s="472"/>
      <c r="AW100" s="471"/>
      <c r="AX100" s="471"/>
      <c r="AY100" s="472"/>
      <c r="AZ100" s="472"/>
      <c r="BB100" s="470">
        <f t="shared" si="33"/>
        <v>136402.08183275192</v>
      </c>
      <c r="BC100" s="470">
        <f t="shared" si="34"/>
        <v>25292226.692707248</v>
      </c>
      <c r="BD100" s="444"/>
      <c r="BE100" s="173">
        <f>+'DPK-8 Filtered Summary'!CB36-BC100</f>
        <v>-25292226.692707248</v>
      </c>
      <c r="BF100" s="336"/>
    </row>
    <row r="101" spans="1:58" outlineLevel="1" x14ac:dyDescent="0.35">
      <c r="A101" s="336">
        <f t="shared" si="29"/>
        <v>26</v>
      </c>
      <c r="B101" s="480" t="s">
        <v>68</v>
      </c>
      <c r="C101" s="509">
        <v>45291</v>
      </c>
      <c r="D101" s="470">
        <f t="shared" si="32"/>
        <v>0</v>
      </c>
      <c r="E101" s="1290"/>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2"/>
      <c r="AF101" s="472"/>
      <c r="AG101" s="472"/>
      <c r="AH101" s="472"/>
      <c r="AI101" s="472"/>
      <c r="AJ101" s="472"/>
      <c r="AK101" s="472"/>
      <c r="AL101" s="472"/>
      <c r="AM101" s="471"/>
      <c r="AN101" s="472"/>
      <c r="AO101" s="472"/>
      <c r="AP101" s="472"/>
      <c r="AQ101" s="472"/>
      <c r="AR101" s="472"/>
      <c r="AS101" s="1290"/>
      <c r="AT101" s="472"/>
      <c r="AU101" s="472"/>
      <c r="AV101" s="472"/>
      <c r="AW101" s="471"/>
      <c r="AX101" s="471"/>
      <c r="AY101" s="472"/>
      <c r="AZ101" s="472"/>
      <c r="BB101" s="470">
        <f t="shared" si="33"/>
        <v>0</v>
      </c>
      <c r="BC101" s="470">
        <f t="shared" si="34"/>
        <v>0</v>
      </c>
      <c r="BD101" s="444"/>
      <c r="BE101" s="173">
        <f>+'DPK-8 Filtered Summary'!CB37-BC101</f>
        <v>0</v>
      </c>
      <c r="BF101" s="336"/>
    </row>
    <row r="102" spans="1:58" outlineLevel="1" x14ac:dyDescent="0.35">
      <c r="A102" s="336">
        <f t="shared" si="29"/>
        <v>27</v>
      </c>
      <c r="B102" s="464" t="s">
        <v>69</v>
      </c>
      <c r="C102" s="509">
        <v>45291</v>
      </c>
      <c r="D102" s="470">
        <f t="shared" si="32"/>
        <v>10046294.843715593</v>
      </c>
      <c r="E102" s="1290"/>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f>'Common Adj'!PW17</f>
        <v>-10589.577548920177</v>
      </c>
      <c r="AD102" s="472"/>
      <c r="AE102" s="472"/>
      <c r="AF102" s="472"/>
      <c r="AG102" s="472"/>
      <c r="AH102" s="472"/>
      <c r="AI102" s="472"/>
      <c r="AJ102" s="472"/>
      <c r="AK102" s="472"/>
      <c r="AL102" s="472">
        <f>'Common Adj'!UW24</f>
        <v>0</v>
      </c>
      <c r="AM102" s="471"/>
      <c r="AN102" s="472"/>
      <c r="AO102" s="472"/>
      <c r="AP102" s="472">
        <f>'Gas Adj'!BI38</f>
        <v>6303193.7592588468</v>
      </c>
      <c r="AQ102" s="472">
        <f>'Gas Adj'!CA44-'Gas Adj'!CA33-'Gas Adj'!CA36</f>
        <v>1669271.8210219755</v>
      </c>
      <c r="AR102" s="472"/>
      <c r="AS102" s="1290"/>
      <c r="AT102" s="472"/>
      <c r="AU102" s="472"/>
      <c r="AV102" s="472"/>
      <c r="AW102" s="471"/>
      <c r="AX102" s="471"/>
      <c r="AY102" s="472"/>
      <c r="AZ102" s="472"/>
      <c r="BB102" s="470">
        <f t="shared" si="33"/>
        <v>7961876.0027319025</v>
      </c>
      <c r="BC102" s="470">
        <f t="shared" si="34"/>
        <v>18008170.846447498</v>
      </c>
      <c r="BD102" s="444"/>
      <c r="BE102" s="173">
        <f>+'DPK-8 Filtered Summary'!CB38-BC102</f>
        <v>-18008170.846447498</v>
      </c>
      <c r="BF102" s="336"/>
    </row>
    <row r="103" spans="1:58" outlineLevel="1" x14ac:dyDescent="0.35">
      <c r="A103" s="336">
        <f t="shared" si="29"/>
        <v>28</v>
      </c>
      <c r="B103" s="464" t="s">
        <v>70</v>
      </c>
      <c r="C103" s="509">
        <v>45291</v>
      </c>
      <c r="D103" s="470">
        <f t="shared" si="32"/>
        <v>30182274.116565451</v>
      </c>
      <c r="E103" s="1290">
        <f>'Common Adj'!G66</f>
        <v>-2241964.9366084165</v>
      </c>
      <c r="F103" s="472"/>
      <c r="G103" s="472">
        <f>'Common Adj'!AQ24</f>
        <v>-900915.97006365238</v>
      </c>
      <c r="H103" s="472"/>
      <c r="I103" s="472"/>
      <c r="J103" s="472"/>
      <c r="K103" s="472"/>
      <c r="L103" s="472"/>
      <c r="M103" s="472"/>
      <c r="N103" s="472"/>
      <c r="O103" s="472">
        <f>+'Common Adj'!GE28</f>
        <v>18923.376664912594</v>
      </c>
      <c r="P103" s="472"/>
      <c r="Q103" s="472"/>
      <c r="R103" s="472"/>
      <c r="S103" s="472"/>
      <c r="T103" s="472"/>
      <c r="U103" s="472"/>
      <c r="V103" s="472"/>
      <c r="W103" s="472"/>
      <c r="X103" s="472"/>
      <c r="Y103" s="472"/>
      <c r="Z103" s="472"/>
      <c r="AA103" s="472"/>
      <c r="AB103" s="472"/>
      <c r="AC103" s="472"/>
      <c r="AD103" s="472"/>
      <c r="AE103" s="472"/>
      <c r="AF103" s="472"/>
      <c r="AG103" s="472"/>
      <c r="AH103" s="472"/>
      <c r="AI103" s="472"/>
      <c r="AJ103" s="472"/>
      <c r="AK103" s="472"/>
      <c r="AL103" s="472"/>
      <c r="AM103" s="471"/>
      <c r="AN103" s="472"/>
      <c r="AO103" s="472"/>
      <c r="AP103" s="472">
        <f>'Gas Adj'!BI43</f>
        <v>-771295.31558099994</v>
      </c>
      <c r="AQ103" s="472"/>
      <c r="AR103" s="472"/>
      <c r="AS103" s="1290"/>
      <c r="AT103" s="472"/>
      <c r="AU103" s="472"/>
      <c r="AV103" s="472"/>
      <c r="AW103" s="471"/>
      <c r="AX103" s="471"/>
      <c r="AY103" s="472"/>
      <c r="AZ103" s="472"/>
      <c r="BB103" s="470">
        <f t="shared" si="33"/>
        <v>-3895252.845588156</v>
      </c>
      <c r="BC103" s="470">
        <f t="shared" si="34"/>
        <v>26287021.270977296</v>
      </c>
      <c r="BD103" s="444"/>
      <c r="BE103" s="173">
        <f>+'DPK-8 Filtered Summary'!CB39-BC103</f>
        <v>-26287021.270977296</v>
      </c>
      <c r="BF103" s="336"/>
    </row>
    <row r="104" spans="1:58" outlineLevel="1" x14ac:dyDescent="0.35">
      <c r="A104" s="336">
        <f t="shared" si="29"/>
        <v>29</v>
      </c>
      <c r="B104" s="464" t="s">
        <v>71</v>
      </c>
      <c r="C104" s="509">
        <v>45291</v>
      </c>
      <c r="D104" s="470">
        <f t="shared" si="32"/>
        <v>35858016.251606919</v>
      </c>
      <c r="E104" s="1290">
        <f>'Common Adj'!G70</f>
        <v>-11702591.169929225</v>
      </c>
      <c r="F104" s="472"/>
      <c r="G104" s="472">
        <f>'Common Adj'!AQ29</f>
        <v>-4702594.186002017</v>
      </c>
      <c r="H104" s="472"/>
      <c r="I104" s="472">
        <f>'Common Adj'!CA23</f>
        <v>596614.66645446536</v>
      </c>
      <c r="J104" s="472"/>
      <c r="K104" s="472"/>
      <c r="L104" s="472"/>
      <c r="M104" s="472">
        <f>'Common Adj'!EU25</f>
        <v>-54116.907163354612</v>
      </c>
      <c r="N104" s="472"/>
      <c r="O104" s="472">
        <f>+'Common Adj'!GE31</f>
        <v>-49183.341404883569</v>
      </c>
      <c r="P104" s="472"/>
      <c r="Q104" s="472"/>
      <c r="R104" s="472">
        <f>'Common Adj'!IG20</f>
        <v>0</v>
      </c>
      <c r="S104" s="472"/>
      <c r="T104" s="472"/>
      <c r="U104" s="472"/>
      <c r="V104" s="472"/>
      <c r="W104" s="472"/>
      <c r="X104" s="472"/>
      <c r="Y104" s="472"/>
      <c r="Z104" s="472"/>
      <c r="AA104" s="472">
        <f>'Common Adj'!OM34</f>
        <v>610284.41040000005</v>
      </c>
      <c r="AB104" s="472">
        <f>+'Common Adj'!PE52</f>
        <v>0</v>
      </c>
      <c r="AC104" s="472">
        <f>'Common Adj'!PW20</f>
        <v>2223.811285273237</v>
      </c>
      <c r="AD104" s="472"/>
      <c r="AE104" s="472">
        <f>'Common Adj'!RH29</f>
        <v>-79327.095683831198</v>
      </c>
      <c r="AF104" s="472">
        <f>'Common Adj'!RZ28</f>
        <v>8952.7368000000006</v>
      </c>
      <c r="AG104" s="472">
        <f>'Common Adj'!$SR$24</f>
        <v>-128366.9219301</v>
      </c>
      <c r="AH104" s="472">
        <f>'Common Adj'!$SR$42</f>
        <v>-84787.856999999975</v>
      </c>
      <c r="AI104" s="472">
        <f>'Common Adj'!$SR$60</f>
        <v>-129.7338</v>
      </c>
      <c r="AJ104" s="472">
        <f>'Common Adj'!$SR$78</f>
        <v>-79907.27005169999</v>
      </c>
      <c r="AK104" s="472"/>
      <c r="AL104" s="472">
        <f>'Common Adj'!UW26</f>
        <v>0</v>
      </c>
      <c r="AM104" s="471"/>
      <c r="AN104" s="472"/>
      <c r="AO104" s="472"/>
      <c r="AP104" s="472">
        <f>'Gas Adj'!BI48</f>
        <v>-4026001.3000829997</v>
      </c>
      <c r="AQ104" s="472">
        <f>'Gas Adj'!CA46</f>
        <v>-631273.47975710849</v>
      </c>
      <c r="AR104" s="472">
        <f>'Gas Adj'!CS29</f>
        <v>87838.481762220297</v>
      </c>
      <c r="AS104" s="1290">
        <f>'Gas Adj'!DB29</f>
        <v>0</v>
      </c>
      <c r="AT104" s="481"/>
      <c r="AU104" s="472"/>
      <c r="AV104" s="472"/>
      <c r="AW104" s="471"/>
      <c r="AX104" s="471"/>
      <c r="AY104" s="472"/>
      <c r="AZ104" s="472"/>
      <c r="BB104" s="470">
        <f t="shared" si="33"/>
        <v>-20232365.156103261</v>
      </c>
      <c r="BC104" s="470">
        <f t="shared" si="34"/>
        <v>15625651.095503658</v>
      </c>
      <c r="BD104" s="444"/>
      <c r="BE104" s="173">
        <f>+'DPK-8 Filtered Summary'!CB40-BC104</f>
        <v>-15625651.095503658</v>
      </c>
      <c r="BF104" s="336"/>
    </row>
    <row r="105" spans="1:58" outlineLevel="1" x14ac:dyDescent="0.35">
      <c r="A105" s="336">
        <f t="shared" si="29"/>
        <v>30</v>
      </c>
      <c r="B105" s="329" t="s">
        <v>72</v>
      </c>
      <c r="C105" s="509">
        <v>45291</v>
      </c>
      <c r="D105" s="470">
        <f t="shared" si="32"/>
        <v>-7153716.5864999983</v>
      </c>
      <c r="E105" s="1290"/>
      <c r="F105" s="472"/>
      <c r="G105" s="472"/>
      <c r="H105" s="472">
        <f>SUM('Common Adj'!BI17:BI19)</f>
        <v>-133104.75165847223</v>
      </c>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1"/>
      <c r="AN105" s="472"/>
      <c r="AO105" s="472"/>
      <c r="AP105" s="472"/>
      <c r="AQ105" s="472"/>
      <c r="AR105" s="472"/>
      <c r="AS105" s="1290"/>
      <c r="AT105" s="472"/>
      <c r="AU105" s="472"/>
      <c r="AV105" s="472"/>
      <c r="AW105" s="471"/>
      <c r="AX105" s="471"/>
      <c r="AY105" s="472"/>
      <c r="AZ105" s="472"/>
      <c r="BB105" s="470">
        <f t="shared" si="33"/>
        <v>-133104.75165847223</v>
      </c>
      <c r="BC105" s="470">
        <f t="shared" si="34"/>
        <v>-7286821.3381584706</v>
      </c>
      <c r="BD105" s="444"/>
      <c r="BE105" s="173">
        <f>+'DPK-8 Filtered Summary'!CB41-BC105</f>
        <v>7286821.3381584706</v>
      </c>
      <c r="BF105" s="336"/>
    </row>
    <row r="106" spans="1:58" outlineLevel="1" x14ac:dyDescent="0.35">
      <c r="A106" s="336">
        <f t="shared" si="29"/>
        <v>31</v>
      </c>
      <c r="B106" s="464" t="s">
        <v>2</v>
      </c>
      <c r="C106" s="509">
        <v>45291</v>
      </c>
      <c r="D106" s="477">
        <f>SUM(D90:D105)</f>
        <v>443312699.35757583</v>
      </c>
      <c r="E106" s="1293">
        <f t="shared" ref="E106:AF106" si="35">SUM(E90:E105)</f>
        <v>-14346789.447113251</v>
      </c>
      <c r="F106" s="479">
        <f t="shared" si="35"/>
        <v>0</v>
      </c>
      <c r="G106" s="479">
        <f t="shared" si="35"/>
        <v>-5765144.459216197</v>
      </c>
      <c r="H106" s="479">
        <f t="shared" si="35"/>
        <v>-133104.75165847223</v>
      </c>
      <c r="I106" s="479">
        <f t="shared" si="35"/>
        <v>596614.66645446536</v>
      </c>
      <c r="J106" s="479">
        <f t="shared" si="35"/>
        <v>0</v>
      </c>
      <c r="K106" s="479">
        <f t="shared" si="35"/>
        <v>0</v>
      </c>
      <c r="L106" s="479">
        <f t="shared" si="35"/>
        <v>0</v>
      </c>
      <c r="M106" s="479">
        <f t="shared" si="35"/>
        <v>203582.65075738163</v>
      </c>
      <c r="N106" s="479">
        <f t="shared" si="35"/>
        <v>0</v>
      </c>
      <c r="O106" s="479">
        <f t="shared" si="35"/>
        <v>185023.04623741916</v>
      </c>
      <c r="P106" s="479">
        <f t="shared" si="35"/>
        <v>0</v>
      </c>
      <c r="Q106" s="479">
        <f t="shared" si="35"/>
        <v>0</v>
      </c>
      <c r="R106" s="479">
        <f t="shared" si="35"/>
        <v>0</v>
      </c>
      <c r="S106" s="479">
        <f t="shared" si="35"/>
        <v>0</v>
      </c>
      <c r="T106" s="479">
        <f t="shared" si="35"/>
        <v>0</v>
      </c>
      <c r="U106" s="479">
        <f t="shared" si="35"/>
        <v>0</v>
      </c>
      <c r="V106" s="479">
        <f t="shared" si="35"/>
        <v>0</v>
      </c>
      <c r="W106" s="479">
        <f t="shared" si="35"/>
        <v>0</v>
      </c>
      <c r="X106" s="479">
        <f t="shared" si="35"/>
        <v>0</v>
      </c>
      <c r="Y106" s="479">
        <f t="shared" si="35"/>
        <v>0</v>
      </c>
      <c r="Z106" s="479">
        <f t="shared" si="35"/>
        <v>0</v>
      </c>
      <c r="AA106" s="479">
        <f t="shared" si="35"/>
        <v>-2295831.8296000003</v>
      </c>
      <c r="AB106" s="479">
        <f t="shared" si="35"/>
        <v>0</v>
      </c>
      <c r="AC106" s="479">
        <f t="shared" si="35"/>
        <v>-8365.7662636469395</v>
      </c>
      <c r="AD106" s="479">
        <f t="shared" si="35"/>
        <v>0</v>
      </c>
      <c r="AE106" s="478">
        <f t="shared" si="35"/>
        <v>298420.97900107928</v>
      </c>
      <c r="AF106" s="479">
        <f t="shared" si="35"/>
        <v>-33679.343200000003</v>
      </c>
      <c r="AG106" s="479">
        <f>SUM(AG90:AG105)</f>
        <v>482904.13487989997</v>
      </c>
      <c r="AH106" s="479">
        <f t="shared" ref="AH106:BC106" si="36">SUM(AH90:AH105)</f>
        <v>318963.84299999994</v>
      </c>
      <c r="AI106" s="479">
        <f t="shared" si="36"/>
        <v>488.0462</v>
      </c>
      <c r="AJ106" s="479">
        <f t="shared" si="36"/>
        <v>300603.53971829993</v>
      </c>
      <c r="AK106" s="479">
        <f t="shared" si="36"/>
        <v>0</v>
      </c>
      <c r="AL106" s="479">
        <f t="shared" si="36"/>
        <v>0</v>
      </c>
      <c r="AM106" s="479">
        <f t="shared" si="36"/>
        <v>0</v>
      </c>
      <c r="AN106" s="479">
        <f t="shared" si="36"/>
        <v>0</v>
      </c>
      <c r="AO106" s="479">
        <f t="shared" si="36"/>
        <v>0</v>
      </c>
      <c r="AP106" s="479">
        <f t="shared" si="36"/>
        <v>-4935675.5377829997</v>
      </c>
      <c r="AQ106" s="479">
        <f t="shared" si="36"/>
        <v>1037998.341264867</v>
      </c>
      <c r="AR106" s="479">
        <f t="shared" si="36"/>
        <v>-330440.00281978119</v>
      </c>
      <c r="AS106" s="1293">
        <f t="shared" si="36"/>
        <v>0</v>
      </c>
      <c r="AT106" s="479"/>
      <c r="AU106" s="479"/>
      <c r="AV106" s="479"/>
      <c r="AW106" s="478"/>
      <c r="AX106" s="478"/>
      <c r="AY106" s="479"/>
      <c r="AZ106" s="479"/>
      <c r="BB106" s="477">
        <f t="shared" si="36"/>
        <v>-24424431.890140936</v>
      </c>
      <c r="BC106" s="477">
        <f t="shared" si="36"/>
        <v>418888267.46743488</v>
      </c>
      <c r="BD106" s="444"/>
      <c r="BE106" s="173">
        <f>+'DPK-8 Filtered Summary'!CB42-BC106</f>
        <v>-418888267.46743488</v>
      </c>
      <c r="BF106" s="336"/>
    </row>
    <row r="107" spans="1:58" outlineLevel="1" x14ac:dyDescent="0.35">
      <c r="A107" s="336">
        <f t="shared" si="29"/>
        <v>32</v>
      </c>
      <c r="C107" s="509">
        <v>45291</v>
      </c>
      <c r="D107" s="482"/>
      <c r="E107" s="1294"/>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363"/>
      <c r="AF107" s="483"/>
      <c r="AG107" s="483"/>
      <c r="AH107" s="483"/>
      <c r="AI107" s="483"/>
      <c r="AJ107" s="483"/>
      <c r="AK107" s="483"/>
      <c r="AL107" s="483"/>
      <c r="AM107" s="483"/>
      <c r="AN107" s="483"/>
      <c r="AO107" s="483"/>
      <c r="AP107" s="483"/>
      <c r="AQ107" s="483"/>
      <c r="AR107" s="483"/>
      <c r="AS107" s="1294"/>
      <c r="AT107" s="483"/>
      <c r="AU107" s="483"/>
      <c r="AV107" s="483"/>
      <c r="AW107" s="363"/>
      <c r="AX107" s="363"/>
      <c r="AY107" s="483"/>
      <c r="AZ107" s="483"/>
      <c r="BB107" s="482"/>
      <c r="BC107" s="482"/>
      <c r="BD107" s="444"/>
      <c r="BE107" s="173"/>
      <c r="BF107" s="336"/>
    </row>
    <row r="108" spans="1:58" ht="15" outlineLevel="1" thickBot="1" x14ac:dyDescent="0.4">
      <c r="A108" s="336">
        <f t="shared" si="29"/>
        <v>33</v>
      </c>
      <c r="B108" s="329" t="s">
        <v>4</v>
      </c>
      <c r="C108" s="509">
        <v>45291</v>
      </c>
      <c r="D108" s="484">
        <f>+D81-D106</f>
        <v>213546110.51518196</v>
      </c>
      <c r="E108" s="1295">
        <f t="shared" ref="E108:AF108" si="37">+E81-E106</f>
        <v>-44024033.448781371</v>
      </c>
      <c r="F108" s="486">
        <f t="shared" si="37"/>
        <v>0</v>
      </c>
      <c r="G108" s="486">
        <f t="shared" si="37"/>
        <v>-17690711.461626638</v>
      </c>
      <c r="H108" s="486">
        <f t="shared" si="37"/>
        <v>133104.75165847223</v>
      </c>
      <c r="I108" s="486">
        <f t="shared" si="37"/>
        <v>-596614.66645446536</v>
      </c>
      <c r="J108" s="486">
        <f t="shared" si="37"/>
        <v>0</v>
      </c>
      <c r="K108" s="486">
        <f t="shared" si="37"/>
        <v>0</v>
      </c>
      <c r="L108" s="486">
        <f t="shared" si="37"/>
        <v>0</v>
      </c>
      <c r="M108" s="486">
        <f t="shared" si="37"/>
        <v>-203582.65075738163</v>
      </c>
      <c r="N108" s="486">
        <f t="shared" si="37"/>
        <v>0</v>
      </c>
      <c r="O108" s="486">
        <f t="shared" si="37"/>
        <v>-185023.04623741916</v>
      </c>
      <c r="P108" s="486">
        <f t="shared" si="37"/>
        <v>0</v>
      </c>
      <c r="Q108" s="486">
        <f t="shared" si="37"/>
        <v>0</v>
      </c>
      <c r="R108" s="486">
        <f t="shared" si="37"/>
        <v>0</v>
      </c>
      <c r="S108" s="486">
        <f t="shared" si="37"/>
        <v>0</v>
      </c>
      <c r="T108" s="486">
        <f t="shared" si="37"/>
        <v>0</v>
      </c>
      <c r="U108" s="486">
        <f t="shared" si="37"/>
        <v>0</v>
      </c>
      <c r="V108" s="486">
        <f t="shared" si="37"/>
        <v>0</v>
      </c>
      <c r="W108" s="486">
        <f t="shared" si="37"/>
        <v>0</v>
      </c>
      <c r="X108" s="486">
        <f t="shared" si="37"/>
        <v>0</v>
      </c>
      <c r="Y108" s="486">
        <f t="shared" si="37"/>
        <v>0</v>
      </c>
      <c r="Z108" s="486">
        <f t="shared" si="37"/>
        <v>0</v>
      </c>
      <c r="AA108" s="486">
        <f t="shared" si="37"/>
        <v>2295831.8296000003</v>
      </c>
      <c r="AB108" s="486">
        <f t="shared" si="37"/>
        <v>0</v>
      </c>
      <c r="AC108" s="486">
        <f t="shared" si="37"/>
        <v>8365.7662636469395</v>
      </c>
      <c r="AD108" s="486">
        <f t="shared" si="37"/>
        <v>0</v>
      </c>
      <c r="AE108" s="485">
        <f t="shared" si="37"/>
        <v>-298420.97900107928</v>
      </c>
      <c r="AF108" s="486">
        <f t="shared" si="37"/>
        <v>33679.343200000003</v>
      </c>
      <c r="AG108" s="486">
        <f>+AG81-AG106</f>
        <v>-482904.13487989997</v>
      </c>
      <c r="AH108" s="486">
        <f t="shared" ref="AH108:BC108" si="38">+AH81-AH106</f>
        <v>-318963.84299999994</v>
      </c>
      <c r="AI108" s="486">
        <f t="shared" si="38"/>
        <v>-488.0462</v>
      </c>
      <c r="AJ108" s="486">
        <f t="shared" si="38"/>
        <v>-300603.53971829993</v>
      </c>
      <c r="AK108" s="486">
        <f t="shared" si="38"/>
        <v>0</v>
      </c>
      <c r="AL108" s="486">
        <f t="shared" si="38"/>
        <v>0</v>
      </c>
      <c r="AM108" s="486">
        <f t="shared" si="38"/>
        <v>0</v>
      </c>
      <c r="AN108" s="486">
        <f t="shared" si="38"/>
        <v>0</v>
      </c>
      <c r="AO108" s="486">
        <f t="shared" si="38"/>
        <v>0</v>
      </c>
      <c r="AP108" s="486">
        <f t="shared" si="38"/>
        <v>-15145433.462216999</v>
      </c>
      <c r="AQ108" s="486">
        <f t="shared" si="38"/>
        <v>-2374790.7095624562</v>
      </c>
      <c r="AR108" s="486">
        <f t="shared" si="38"/>
        <v>330440.00281978119</v>
      </c>
      <c r="AS108" s="1295">
        <f t="shared" si="38"/>
        <v>0</v>
      </c>
      <c r="AT108" s="486"/>
      <c r="AU108" s="486"/>
      <c r="AV108" s="486"/>
      <c r="AW108" s="485"/>
      <c r="AX108" s="485"/>
      <c r="AY108" s="486"/>
      <c r="AZ108" s="486"/>
      <c r="BB108" s="484">
        <f t="shared" si="38"/>
        <v>-78820148.294894114</v>
      </c>
      <c r="BC108" s="484">
        <f t="shared" si="38"/>
        <v>134725962.22028792</v>
      </c>
      <c r="BD108" s="444"/>
      <c r="BE108" s="173"/>
      <c r="BF108" s="336"/>
    </row>
    <row r="109" spans="1:58" ht="15" outlineLevel="1" thickTop="1" x14ac:dyDescent="0.35">
      <c r="A109" s="336">
        <f t="shared" si="29"/>
        <v>34</v>
      </c>
      <c r="B109"/>
      <c r="C109" s="509">
        <v>45291</v>
      </c>
      <c r="D109" s="219"/>
      <c r="E109" s="129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416"/>
      <c r="AF109" s="116"/>
      <c r="AG109" s="116"/>
      <c r="AH109" s="116"/>
      <c r="AI109" s="116"/>
      <c r="AJ109" s="116"/>
      <c r="AK109" s="116"/>
      <c r="AL109" s="116"/>
      <c r="AM109" s="116"/>
      <c r="AN109" s="116"/>
      <c r="AO109" s="116"/>
      <c r="AP109" s="116"/>
      <c r="AQ109" s="116"/>
      <c r="AR109" s="116"/>
      <c r="AS109" s="1296"/>
      <c r="AT109" s="116"/>
      <c r="AU109" s="116"/>
      <c r="AV109" s="116"/>
      <c r="AW109" s="416"/>
      <c r="AX109" s="416"/>
      <c r="AY109" s="116"/>
      <c r="AZ109" s="116"/>
      <c r="BB109" s="219"/>
      <c r="BC109" s="219"/>
      <c r="BD109" s="444"/>
      <c r="BE109" s="173"/>
      <c r="BF109" s="336"/>
    </row>
    <row r="110" spans="1:58" outlineLevel="1" x14ac:dyDescent="0.35">
      <c r="A110" s="336">
        <f t="shared" si="29"/>
        <v>35</v>
      </c>
      <c r="B110" s="464" t="s">
        <v>124</v>
      </c>
      <c r="C110" s="509">
        <v>45291</v>
      </c>
      <c r="D110" s="476">
        <f>D121</f>
        <v>2910473035.7707138</v>
      </c>
      <c r="E110" s="1292">
        <f t="shared" ref="E110:AS110" si="39">E121</f>
        <v>0</v>
      </c>
      <c r="F110" s="173">
        <f t="shared" si="39"/>
        <v>0</v>
      </c>
      <c r="G110" s="173">
        <f t="shared" si="39"/>
        <v>0</v>
      </c>
      <c r="H110" s="173">
        <f t="shared" si="39"/>
        <v>0</v>
      </c>
      <c r="I110" s="173">
        <f t="shared" si="39"/>
        <v>0</v>
      </c>
      <c r="J110" s="173">
        <f t="shared" si="39"/>
        <v>0</v>
      </c>
      <c r="K110" s="173">
        <f t="shared" si="39"/>
        <v>0</v>
      </c>
      <c r="L110" s="173">
        <f t="shared" si="39"/>
        <v>0</v>
      </c>
      <c r="M110" s="173">
        <f t="shared" si="39"/>
        <v>0</v>
      </c>
      <c r="N110" s="173">
        <f t="shared" si="39"/>
        <v>0</v>
      </c>
      <c r="O110" s="173">
        <f t="shared" si="39"/>
        <v>0</v>
      </c>
      <c r="P110" s="173">
        <f t="shared" si="39"/>
        <v>0</v>
      </c>
      <c r="Q110" s="173">
        <f t="shared" si="39"/>
        <v>0</v>
      </c>
      <c r="R110" s="173">
        <f t="shared" si="39"/>
        <v>0</v>
      </c>
      <c r="S110" s="173">
        <f t="shared" si="39"/>
        <v>0</v>
      </c>
      <c r="T110" s="173">
        <f t="shared" si="39"/>
        <v>0</v>
      </c>
      <c r="U110" s="173">
        <f t="shared" si="39"/>
        <v>0</v>
      </c>
      <c r="V110" s="173">
        <f t="shared" si="39"/>
        <v>0</v>
      </c>
      <c r="W110" s="173">
        <f t="shared" si="39"/>
        <v>0</v>
      </c>
      <c r="X110" s="173">
        <f t="shared" si="39"/>
        <v>0</v>
      </c>
      <c r="Y110" s="173">
        <f t="shared" si="39"/>
        <v>0</v>
      </c>
      <c r="Z110" s="173">
        <f t="shared" si="39"/>
        <v>0</v>
      </c>
      <c r="AA110" s="173">
        <f t="shared" si="39"/>
        <v>-28019480.875479184</v>
      </c>
      <c r="AB110" s="173">
        <f t="shared" si="39"/>
        <v>57834387.276298791</v>
      </c>
      <c r="AC110" s="173">
        <f t="shared" si="39"/>
        <v>0</v>
      </c>
      <c r="AD110" s="173">
        <f t="shared" si="39"/>
        <v>0</v>
      </c>
      <c r="AE110" s="420">
        <f t="shared" si="39"/>
        <v>-81821842.066694736</v>
      </c>
      <c r="AF110" s="173">
        <f t="shared" si="39"/>
        <v>42632.08</v>
      </c>
      <c r="AG110" s="173">
        <f>AG121</f>
        <v>63796583.976750001</v>
      </c>
      <c r="AH110" s="173">
        <f t="shared" ref="AH110:AN110" si="40">AH121</f>
        <v>52899028.379999995</v>
      </c>
      <c r="AI110" s="173">
        <f t="shared" si="40"/>
        <v>57980.340000000004</v>
      </c>
      <c r="AJ110" s="173">
        <f t="shared" si="40"/>
        <v>46959913.410709992</v>
      </c>
      <c r="AK110" s="173">
        <f t="shared" si="40"/>
        <v>0</v>
      </c>
      <c r="AL110" s="173">
        <f t="shared" si="40"/>
        <v>0</v>
      </c>
      <c r="AM110" s="173">
        <f t="shared" si="40"/>
        <v>0</v>
      </c>
      <c r="AN110" s="173">
        <f t="shared" si="40"/>
        <v>0</v>
      </c>
      <c r="AO110" s="173"/>
      <c r="AP110" s="173">
        <f t="shared" si="39"/>
        <v>-244980865.4539476</v>
      </c>
      <c r="AQ110" s="173">
        <f t="shared" si="39"/>
        <v>24719599.411719467</v>
      </c>
      <c r="AR110" s="173">
        <f t="shared" si="39"/>
        <v>488404.91943644884</v>
      </c>
      <c r="AS110" s="1292">
        <f t="shared" si="39"/>
        <v>0</v>
      </c>
      <c r="AT110" s="173"/>
      <c r="AU110" s="173"/>
      <c r="AV110" s="173"/>
      <c r="AW110" s="420"/>
      <c r="AX110" s="420"/>
      <c r="AY110" s="173"/>
      <c r="AZ110" s="173"/>
      <c r="BB110" s="476">
        <f>BB121</f>
        <v>-108023658.60120685</v>
      </c>
      <c r="BC110" s="476">
        <f>BC121</f>
        <v>2802449377.1695061</v>
      </c>
      <c r="BD110" s="444"/>
      <c r="BE110" s="173"/>
      <c r="BF110" s="336"/>
    </row>
    <row r="111" spans="1:58" outlineLevel="1" x14ac:dyDescent="0.35">
      <c r="A111" s="336">
        <f t="shared" si="29"/>
        <v>36</v>
      </c>
      <c r="C111" s="509">
        <v>45291</v>
      </c>
      <c r="D111" s="466"/>
      <c r="E111" s="1279"/>
      <c r="AE111" s="341"/>
      <c r="AM111" s="487"/>
      <c r="AS111" s="1279"/>
      <c r="AW111" s="341"/>
      <c r="AX111" s="341"/>
      <c r="BB111" s="466"/>
      <c r="BC111" s="466"/>
      <c r="BD111" s="444"/>
      <c r="BE111" s="173"/>
      <c r="BF111" s="336"/>
    </row>
    <row r="112" spans="1:58" outlineLevel="1" x14ac:dyDescent="0.35">
      <c r="A112" s="336">
        <f t="shared" si="29"/>
        <v>37</v>
      </c>
      <c r="B112" s="464" t="s">
        <v>125</v>
      </c>
      <c r="C112" s="509">
        <v>45291</v>
      </c>
      <c r="D112" s="488">
        <f>+D108/D110</f>
        <v>7.3371616191123187E-2</v>
      </c>
      <c r="E112" s="1290"/>
      <c r="F112" s="472"/>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1"/>
      <c r="AF112" s="472"/>
      <c r="AG112" s="472"/>
      <c r="AH112" s="472"/>
      <c r="AI112" s="472"/>
      <c r="AJ112" s="472"/>
      <c r="AK112" s="472"/>
      <c r="AL112" s="472"/>
      <c r="AM112" s="489"/>
      <c r="AN112" s="472"/>
      <c r="AO112" s="472"/>
      <c r="AP112" s="472"/>
      <c r="AQ112" s="472"/>
      <c r="AR112" s="472"/>
      <c r="AS112" s="1290"/>
      <c r="AT112" s="472"/>
      <c r="AU112" s="472"/>
      <c r="AV112" s="472"/>
      <c r="AW112" s="471"/>
      <c r="AX112" s="471"/>
      <c r="AY112" s="472"/>
      <c r="AZ112" s="472"/>
      <c r="BB112" s="470"/>
      <c r="BC112" s="488">
        <f>+BC108/BC110</f>
        <v>4.8074360706690841E-2</v>
      </c>
      <c r="BD112" s="444"/>
      <c r="BE112" s="173"/>
      <c r="BF112" s="336"/>
    </row>
    <row r="113" spans="1:58" outlineLevel="1" x14ac:dyDescent="0.35">
      <c r="A113" s="336">
        <f t="shared" si="29"/>
        <v>38</v>
      </c>
      <c r="C113" s="509">
        <v>45291</v>
      </c>
      <c r="D113" s="470"/>
      <c r="E113" s="1290"/>
      <c r="F113" s="472"/>
      <c r="G113" s="472"/>
      <c r="H113" s="472"/>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1"/>
      <c r="AF113" s="472"/>
      <c r="AG113" s="472"/>
      <c r="AH113" s="472"/>
      <c r="AI113" s="472"/>
      <c r="AJ113" s="472"/>
      <c r="AK113" s="472"/>
      <c r="AL113" s="472"/>
      <c r="AM113" s="472"/>
      <c r="AN113" s="472"/>
      <c r="AO113" s="472"/>
      <c r="AP113" s="472"/>
      <c r="AQ113" s="472"/>
      <c r="AR113" s="472"/>
      <c r="AS113" s="1290"/>
      <c r="AT113" s="472"/>
      <c r="AU113" s="472"/>
      <c r="AV113" s="472"/>
      <c r="AW113" s="471"/>
      <c r="AX113" s="471"/>
      <c r="AY113" s="472"/>
      <c r="AZ113" s="472"/>
      <c r="BB113" s="470"/>
      <c r="BC113" s="470"/>
      <c r="BD113" s="444"/>
      <c r="BE113" s="173"/>
      <c r="BF113" s="336"/>
    </row>
    <row r="114" spans="1:58" outlineLevel="1" x14ac:dyDescent="0.35">
      <c r="A114" s="336">
        <f t="shared" si="29"/>
        <v>39</v>
      </c>
      <c r="B114" s="329" t="s">
        <v>126</v>
      </c>
      <c r="C114" s="509">
        <v>45291</v>
      </c>
      <c r="D114" s="470"/>
      <c r="E114" s="1290"/>
      <c r="F114" s="472"/>
      <c r="G114" s="472"/>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1290"/>
      <c r="AT114" s="472"/>
      <c r="AU114" s="472"/>
      <c r="AV114" s="472"/>
      <c r="AW114" s="471"/>
      <c r="AX114" s="471"/>
      <c r="AY114" s="472"/>
      <c r="AZ114" s="472"/>
      <c r="BB114" s="470"/>
      <c r="BC114" s="470"/>
      <c r="BD114" s="444"/>
      <c r="BE114" s="173"/>
      <c r="BF114" s="336"/>
    </row>
    <row r="115" spans="1:58" outlineLevel="1" x14ac:dyDescent="0.35">
      <c r="A115" s="336">
        <f t="shared" si="29"/>
        <v>40</v>
      </c>
      <c r="B115" s="490" t="s">
        <v>20</v>
      </c>
      <c r="C115" s="509">
        <v>45291</v>
      </c>
      <c r="D115" s="476">
        <f t="shared" ref="D115:D120" si="41">+BC54</f>
        <v>5474387919.4468212</v>
      </c>
      <c r="E115" s="1292"/>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f>'Common Adj'!OM18</f>
        <v>-40083865.243799999</v>
      </c>
      <c r="AB115" s="173">
        <f>+'Common Adj'!PE21</f>
        <v>75215094.712953344</v>
      </c>
      <c r="AC115" s="173"/>
      <c r="AD115" s="173">
        <f>'Common Adj'!QP17</f>
        <v>-4692533.0386116672</v>
      </c>
      <c r="AE115" s="173"/>
      <c r="AF115" s="173"/>
      <c r="AG115" s="173">
        <f>'Common Adj'!$SR$28</f>
        <v>64907450.781774998</v>
      </c>
      <c r="AH115" s="173">
        <f>'Common Adj'!$SR$46</f>
        <v>53642765.109999999</v>
      </c>
      <c r="AI115" s="173">
        <f>'Common Adj'!$SR$64</f>
        <v>58932.5</v>
      </c>
      <c r="AJ115" s="173">
        <f>'Common Adj'!$SR$82</f>
        <v>47957544.839049995</v>
      </c>
      <c r="AK115" s="472"/>
      <c r="AL115" s="472"/>
      <c r="AM115" s="173"/>
      <c r="AN115" s="472">
        <f>'Common Adj'!VP20</f>
        <v>0</v>
      </c>
      <c r="AO115" s="472"/>
      <c r="AP115" s="173">
        <f>'Gas Adj'!BI19</f>
        <v>-243110912.17458329</v>
      </c>
      <c r="AQ115" s="173"/>
      <c r="AR115" s="173">
        <f>'Gas Adj'!CS18</f>
        <v>0</v>
      </c>
      <c r="AS115" s="1292">
        <f>'Gas Adj'!DB18</f>
        <v>0</v>
      </c>
      <c r="AT115" s="173"/>
      <c r="AU115" s="173"/>
      <c r="AV115" s="173"/>
      <c r="AW115" s="420"/>
      <c r="AX115" s="420"/>
      <c r="AY115" s="173"/>
      <c r="AZ115" s="173"/>
      <c r="BB115" s="476">
        <f t="shared" ref="BB115:BB120" si="42">SUM(E115:AZ115)</f>
        <v>-46105522.513216615</v>
      </c>
      <c r="BC115" s="476">
        <f t="shared" ref="BC115:BC120" si="43">+BB115+BC54</f>
        <v>5428282396.9336042</v>
      </c>
      <c r="BD115" s="444"/>
      <c r="BE115" s="173"/>
      <c r="BF115" s="336"/>
    </row>
    <row r="116" spans="1:58" outlineLevel="1" x14ac:dyDescent="0.35">
      <c r="A116" s="336">
        <f t="shared" si="29"/>
        <v>41</v>
      </c>
      <c r="B116" s="490" t="s">
        <v>21</v>
      </c>
      <c r="C116" s="509">
        <v>45291</v>
      </c>
      <c r="D116" s="470">
        <f t="shared" si="41"/>
        <v>-2114157216.2528422</v>
      </c>
      <c r="E116" s="1290"/>
      <c r="F116" s="472"/>
      <c r="G116" s="472"/>
      <c r="H116" s="472"/>
      <c r="I116" s="472"/>
      <c r="J116" s="472"/>
      <c r="K116" s="472"/>
      <c r="L116" s="472"/>
      <c r="M116" s="472"/>
      <c r="N116" s="472"/>
      <c r="O116" s="472"/>
      <c r="P116" s="472"/>
      <c r="Q116" s="472"/>
      <c r="R116" s="472"/>
      <c r="S116" s="472"/>
      <c r="T116" s="472"/>
      <c r="U116" s="472"/>
      <c r="V116" s="472"/>
      <c r="W116" s="472"/>
      <c r="X116" s="472"/>
      <c r="Y116" s="472"/>
      <c r="Z116" s="472"/>
      <c r="AA116" s="472">
        <f>'Common Adj'!OM19</f>
        <v>2672926.9994000001</v>
      </c>
      <c r="AB116" s="472">
        <f>+'Common Adj'!PE27</f>
        <v>-9233476.6029253639</v>
      </c>
      <c r="AC116" s="472"/>
      <c r="AD116" s="472">
        <f>'Common Adj'!QP18</f>
        <v>4692533.0386116672</v>
      </c>
      <c r="AE116" s="472">
        <f>'Common Adj'!RH34</f>
        <v>-87066192.781679153</v>
      </c>
      <c r="AF116" s="472">
        <f>'Common Adj'!RZ33</f>
        <v>42632.08</v>
      </c>
      <c r="AG116" s="472">
        <f>'Common Adj'!$SR$29</f>
        <v>-611271.05680999998</v>
      </c>
      <c r="AH116" s="472">
        <f>'Common Adj'!$SR$47</f>
        <v>-403751.7</v>
      </c>
      <c r="AI116" s="472">
        <f>'Common Adj'!$SR$65</f>
        <v>-617.78</v>
      </c>
      <c r="AJ116" s="472">
        <f>'Common Adj'!$SR$83</f>
        <v>-380510.80976999988</v>
      </c>
      <c r="AK116" s="472"/>
      <c r="AL116" s="472"/>
      <c r="AM116" s="481"/>
      <c r="AN116" s="472">
        <f>'Common Adj'!VP21</f>
        <v>0</v>
      </c>
      <c r="AO116" s="472"/>
      <c r="AP116" s="472">
        <f>'Gas Adj'!BI20</f>
        <v>8669863.8600160964</v>
      </c>
      <c r="AQ116" s="472"/>
      <c r="AR116" s="173">
        <f>'Gas Adj'!CS19+'Gas Adj'!CS20</f>
        <v>418278.48458200146</v>
      </c>
      <c r="AS116" s="1292">
        <f>'Gas Adj'!DB19+'Gas Adj'!DB20</f>
        <v>0</v>
      </c>
      <c r="AT116" s="481"/>
      <c r="AU116" s="472"/>
      <c r="AV116" s="472"/>
      <c r="AW116" s="471"/>
      <c r="AX116" s="471"/>
      <c r="AY116" s="472"/>
      <c r="AZ116" s="472"/>
      <c r="BB116" s="470">
        <f t="shared" si="42"/>
        <v>-81199586.268574759</v>
      </c>
      <c r="BC116" s="470">
        <f t="shared" si="43"/>
        <v>-2195356802.5214171</v>
      </c>
      <c r="BD116" s="444"/>
      <c r="BE116" s="173"/>
      <c r="BF116" s="336"/>
    </row>
    <row r="117" spans="1:58" outlineLevel="1" x14ac:dyDescent="0.35">
      <c r="A117" s="336">
        <f t="shared" si="29"/>
        <v>42</v>
      </c>
      <c r="B117" s="329" t="s">
        <v>127</v>
      </c>
      <c r="C117" s="509">
        <v>45291</v>
      </c>
      <c r="D117" s="470">
        <f t="shared" si="41"/>
        <v>16664014.890000001</v>
      </c>
      <c r="E117" s="1290"/>
      <c r="F117" s="472"/>
      <c r="G117" s="472"/>
      <c r="H117" s="472"/>
      <c r="I117" s="472"/>
      <c r="J117" s="472"/>
      <c r="K117" s="472"/>
      <c r="L117" s="472"/>
      <c r="M117" s="472"/>
      <c r="N117" s="472"/>
      <c r="O117" s="472"/>
      <c r="P117" s="472"/>
      <c r="Q117" s="472"/>
      <c r="R117" s="472"/>
      <c r="S117" s="472"/>
      <c r="T117" s="472"/>
      <c r="U117" s="472"/>
      <c r="V117" s="472"/>
      <c r="W117" s="472"/>
      <c r="X117" s="472"/>
      <c r="Y117" s="472"/>
      <c r="Z117" s="472"/>
      <c r="AA117" s="472"/>
      <c r="AB117" s="472">
        <f>+'Common Adj'!PE33</f>
        <v>-8147230.8337291926</v>
      </c>
      <c r="AC117" s="472"/>
      <c r="AD117" s="472"/>
      <c r="AE117" s="472"/>
      <c r="AF117" s="472">
        <f>'Common Adj'!RZ34</f>
        <v>0</v>
      </c>
      <c r="AG117" s="472"/>
      <c r="AH117" s="472"/>
      <c r="AI117" s="472"/>
      <c r="AJ117" s="472"/>
      <c r="AK117" s="472"/>
      <c r="AL117" s="472">
        <f>'Common Adj'!UW17</f>
        <v>0</v>
      </c>
      <c r="AM117" s="481"/>
      <c r="AN117" s="472"/>
      <c r="AO117" s="472"/>
      <c r="AP117" s="472">
        <v>-12530977.195512716</v>
      </c>
      <c r="AQ117" s="472">
        <f>'Gas Adj'!CA25</f>
        <v>31505890.107479818</v>
      </c>
      <c r="AR117" s="173"/>
      <c r="AS117" s="1292"/>
      <c r="AT117" s="481"/>
      <c r="AU117" s="472"/>
      <c r="AV117" s="472"/>
      <c r="AW117" s="471"/>
      <c r="AX117" s="471"/>
      <c r="AY117" s="472"/>
      <c r="AZ117" s="472"/>
      <c r="BB117" s="470">
        <f t="shared" si="42"/>
        <v>10827682.07823791</v>
      </c>
      <c r="BC117" s="470">
        <f t="shared" si="43"/>
        <v>27491696.96823791</v>
      </c>
      <c r="BD117" s="444"/>
      <c r="BE117" s="173"/>
      <c r="BF117" s="336"/>
    </row>
    <row r="118" spans="1:58" outlineLevel="1" x14ac:dyDescent="0.35">
      <c r="A118" s="336">
        <f t="shared" si="29"/>
        <v>43</v>
      </c>
      <c r="B118" s="329" t="s">
        <v>128</v>
      </c>
      <c r="C118" s="509">
        <v>45291</v>
      </c>
      <c r="D118" s="470">
        <f t="shared" si="41"/>
        <v>-584249152.02586055</v>
      </c>
      <c r="E118" s="1290"/>
      <c r="F118" s="472"/>
      <c r="G118" s="472"/>
      <c r="H118" s="472">
        <f>+'Common Adj'!BI24</f>
        <v>0</v>
      </c>
      <c r="I118" s="472"/>
      <c r="J118" s="472"/>
      <c r="K118" s="472"/>
      <c r="L118" s="472"/>
      <c r="M118" s="472"/>
      <c r="N118" s="472"/>
      <c r="O118" s="472"/>
      <c r="P118" s="472"/>
      <c r="Q118" s="472"/>
      <c r="R118" s="472"/>
      <c r="S118" s="472"/>
      <c r="T118" s="472"/>
      <c r="U118" s="472"/>
      <c r="V118" s="472"/>
      <c r="W118" s="472"/>
      <c r="X118" s="472"/>
      <c r="Y118" s="472"/>
      <c r="Z118" s="472"/>
      <c r="AA118" s="472">
        <f>'Common Adj'!OM20</f>
        <v>9391457.368920818</v>
      </c>
      <c r="AB118" s="472"/>
      <c r="AC118" s="472"/>
      <c r="AD118" s="472"/>
      <c r="AE118" s="472">
        <f>'Common Adj'!RH35</f>
        <v>5244350.714984417</v>
      </c>
      <c r="AF118" s="472"/>
      <c r="AG118" s="472">
        <f>'Common Adj'!$SR$30</f>
        <v>-499595.74821500003</v>
      </c>
      <c r="AH118" s="472">
        <f>'Common Adj'!$SR$48</f>
        <v>-339985.02999999997</v>
      </c>
      <c r="AI118" s="472">
        <f>'Common Adj'!$SR$66</f>
        <v>-334.38</v>
      </c>
      <c r="AJ118" s="472">
        <f>'Common Adj'!$SR$84</f>
        <v>-617120.61857000005</v>
      </c>
      <c r="AK118" s="472"/>
      <c r="AL118" s="472">
        <f>'Common Adj'!UW18</f>
        <v>0</v>
      </c>
      <c r="AM118" s="347"/>
      <c r="AN118" s="472">
        <f>'Common Adj'!VP22</f>
        <v>0</v>
      </c>
      <c r="AO118" s="472"/>
      <c r="AP118" s="472">
        <f>'Gas Adj'!BI21</f>
        <v>1991160.0561322786</v>
      </c>
      <c r="AQ118" s="472">
        <f>'Gas Adj'!CA26</f>
        <v>-6786290.6957603497</v>
      </c>
      <c r="AR118" s="173">
        <f>'Gas Adj'!CS21</f>
        <v>70126.434854447376</v>
      </c>
      <c r="AS118" s="1292">
        <f>'Gas Adj'!DB21</f>
        <v>0</v>
      </c>
      <c r="AT118" s="265"/>
      <c r="AU118" s="472"/>
      <c r="AV118" s="472"/>
      <c r="AW118" s="471"/>
      <c r="AX118" s="471"/>
      <c r="AY118" s="472"/>
      <c r="AZ118" s="472"/>
      <c r="BB118" s="470">
        <f t="shared" si="42"/>
        <v>8453768.1023466121</v>
      </c>
      <c r="BC118" s="470">
        <f t="shared" si="43"/>
        <v>-575795383.92351389</v>
      </c>
      <c r="BD118" s="444"/>
      <c r="BE118" s="173"/>
      <c r="BF118" s="336"/>
    </row>
    <row r="119" spans="1:58" outlineLevel="1" x14ac:dyDescent="0.35">
      <c r="A119" s="336">
        <f t="shared" si="29"/>
        <v>44</v>
      </c>
      <c r="B119" s="329" t="s">
        <v>129</v>
      </c>
      <c r="C119" s="509">
        <v>45291</v>
      </c>
      <c r="D119" s="491">
        <f t="shared" si="41"/>
        <v>119028167.29199991</v>
      </c>
      <c r="E119" s="1290"/>
      <c r="F119" s="472"/>
      <c r="G119" s="472"/>
      <c r="H119" s="472"/>
      <c r="I119" s="472"/>
      <c r="J119" s="472"/>
      <c r="K119" s="472"/>
      <c r="L119" s="472"/>
      <c r="M119" s="472"/>
      <c r="N119" s="472"/>
      <c r="O119" s="472"/>
      <c r="P119" s="472"/>
      <c r="Q119" s="472"/>
      <c r="R119" s="472"/>
      <c r="S119" s="472"/>
      <c r="T119" s="472"/>
      <c r="U119" s="472"/>
      <c r="V119" s="472"/>
      <c r="W119" s="472"/>
      <c r="X119" s="472"/>
      <c r="Y119" s="472"/>
      <c r="Z119" s="472"/>
      <c r="AA119" s="472"/>
      <c r="AB119" s="472"/>
      <c r="AC119" s="472"/>
      <c r="AD119" s="472"/>
      <c r="AE119" s="472"/>
      <c r="AF119" s="472"/>
      <c r="AG119" s="472"/>
      <c r="AH119" s="472"/>
      <c r="AI119" s="472"/>
      <c r="AJ119" s="472"/>
      <c r="AK119" s="472"/>
      <c r="AL119" s="472"/>
      <c r="AM119" s="481"/>
      <c r="AN119" s="472"/>
      <c r="AO119" s="472"/>
      <c r="AP119" s="173"/>
      <c r="AQ119" s="173"/>
      <c r="AR119" s="173"/>
      <c r="AS119" s="1292"/>
      <c r="AT119" s="472"/>
      <c r="AU119" s="472"/>
      <c r="AV119" s="472"/>
      <c r="AW119" s="472"/>
      <c r="AX119" s="472"/>
      <c r="AY119" s="472"/>
      <c r="AZ119" s="472"/>
      <c r="BB119" s="470">
        <f t="shared" si="42"/>
        <v>0</v>
      </c>
      <c r="BC119" s="470">
        <f t="shared" si="43"/>
        <v>119028167.29199991</v>
      </c>
      <c r="BD119" s="444"/>
      <c r="BE119" s="173"/>
      <c r="BF119" s="336"/>
    </row>
    <row r="120" spans="1:58" outlineLevel="1" x14ac:dyDescent="0.35">
      <c r="A120" s="336">
        <f t="shared" si="29"/>
        <v>45</v>
      </c>
      <c r="B120" s="329" t="s">
        <v>130</v>
      </c>
      <c r="C120" s="509">
        <v>45291</v>
      </c>
      <c r="D120" s="470">
        <f t="shared" si="41"/>
        <v>-1200697.579405</v>
      </c>
      <c r="E120" s="1290"/>
      <c r="F120" s="472"/>
      <c r="G120" s="472"/>
      <c r="H120" s="472"/>
      <c r="I120" s="472"/>
      <c r="J120" s="472"/>
      <c r="K120" s="472"/>
      <c r="L120" s="472"/>
      <c r="M120" s="472"/>
      <c r="N120" s="472"/>
      <c r="O120" s="472"/>
      <c r="P120" s="472"/>
      <c r="Q120" s="472"/>
      <c r="R120" s="472"/>
      <c r="S120" s="472"/>
      <c r="T120" s="472"/>
      <c r="U120" s="472"/>
      <c r="V120" s="472"/>
      <c r="W120" s="472"/>
      <c r="X120" s="472"/>
      <c r="Y120" s="472"/>
      <c r="Z120" s="472"/>
      <c r="AA120" s="472"/>
      <c r="AB120" s="472"/>
      <c r="AC120" s="472"/>
      <c r="AD120" s="472"/>
      <c r="AE120" s="472"/>
      <c r="AF120" s="472"/>
      <c r="AG120" s="472"/>
      <c r="AH120" s="472"/>
      <c r="AI120" s="472"/>
      <c r="AJ120" s="472"/>
      <c r="AK120" s="472"/>
      <c r="AL120" s="472"/>
      <c r="AM120" s="481"/>
      <c r="AN120" s="472"/>
      <c r="AO120" s="472"/>
      <c r="AP120" s="173"/>
      <c r="AQ120" s="173"/>
      <c r="AR120" s="173"/>
      <c r="AS120" s="1292"/>
      <c r="AT120" s="472"/>
      <c r="AU120" s="472"/>
      <c r="AV120" s="472"/>
      <c r="AW120" s="472"/>
      <c r="AX120" s="472"/>
      <c r="AY120" s="472"/>
      <c r="AZ120" s="472"/>
      <c r="BB120" s="470">
        <f t="shared" si="42"/>
        <v>0</v>
      </c>
      <c r="BC120" s="470">
        <f t="shared" si="43"/>
        <v>-1200697.579405</v>
      </c>
      <c r="BD120" s="444"/>
      <c r="BE120" s="173"/>
      <c r="BF120" s="336"/>
    </row>
    <row r="121" spans="1:58" ht="15" outlineLevel="1" thickBot="1" x14ac:dyDescent="0.4">
      <c r="A121" s="336">
        <f t="shared" si="29"/>
        <v>46</v>
      </c>
      <c r="B121" s="329" t="s">
        <v>22</v>
      </c>
      <c r="C121" s="509">
        <v>45291</v>
      </c>
      <c r="D121" s="493">
        <f>SUM(D115:D120)</f>
        <v>2910473035.7707138</v>
      </c>
      <c r="E121" s="1301">
        <f t="shared" ref="E121:AS121" si="44">SUM(E115:E120)</f>
        <v>0</v>
      </c>
      <c r="F121" s="494">
        <f t="shared" si="44"/>
        <v>0</v>
      </c>
      <c r="G121" s="494">
        <f t="shared" si="44"/>
        <v>0</v>
      </c>
      <c r="H121" s="494">
        <f t="shared" si="44"/>
        <v>0</v>
      </c>
      <c r="I121" s="494">
        <f t="shared" si="44"/>
        <v>0</v>
      </c>
      <c r="J121" s="494">
        <f t="shared" si="44"/>
        <v>0</v>
      </c>
      <c r="K121" s="494">
        <f t="shared" si="44"/>
        <v>0</v>
      </c>
      <c r="L121" s="494">
        <f t="shared" si="44"/>
        <v>0</v>
      </c>
      <c r="M121" s="494">
        <f t="shared" si="44"/>
        <v>0</v>
      </c>
      <c r="N121" s="494">
        <f t="shared" si="44"/>
        <v>0</v>
      </c>
      <c r="O121" s="494">
        <f t="shared" si="44"/>
        <v>0</v>
      </c>
      <c r="P121" s="494">
        <f t="shared" si="44"/>
        <v>0</v>
      </c>
      <c r="Q121" s="494">
        <f t="shared" si="44"/>
        <v>0</v>
      </c>
      <c r="R121" s="494">
        <f t="shared" si="44"/>
        <v>0</v>
      </c>
      <c r="S121" s="494">
        <f t="shared" si="44"/>
        <v>0</v>
      </c>
      <c r="T121" s="494">
        <f t="shared" si="44"/>
        <v>0</v>
      </c>
      <c r="U121" s="494">
        <f t="shared" si="44"/>
        <v>0</v>
      </c>
      <c r="V121" s="494">
        <f t="shared" si="44"/>
        <v>0</v>
      </c>
      <c r="W121" s="494">
        <f t="shared" si="44"/>
        <v>0</v>
      </c>
      <c r="X121" s="494">
        <f t="shared" si="44"/>
        <v>0</v>
      </c>
      <c r="Y121" s="494">
        <f t="shared" si="44"/>
        <v>0</v>
      </c>
      <c r="Z121" s="494">
        <f t="shared" si="44"/>
        <v>0</v>
      </c>
      <c r="AA121" s="494">
        <f t="shared" si="44"/>
        <v>-28019480.875479184</v>
      </c>
      <c r="AB121" s="494">
        <f t="shared" si="44"/>
        <v>57834387.276298791</v>
      </c>
      <c r="AC121" s="494">
        <f t="shared" si="44"/>
        <v>0</v>
      </c>
      <c r="AD121" s="494">
        <f t="shared" si="44"/>
        <v>0</v>
      </c>
      <c r="AE121" s="494">
        <f t="shared" si="44"/>
        <v>-81821842.066694736</v>
      </c>
      <c r="AF121" s="494">
        <f t="shared" si="44"/>
        <v>42632.08</v>
      </c>
      <c r="AG121" s="494">
        <f>SUM(AG115:AG120)</f>
        <v>63796583.976750001</v>
      </c>
      <c r="AH121" s="494">
        <f t="shared" ref="AH121:AJ121" si="45">SUM(AH115:AH120)</f>
        <v>52899028.379999995</v>
      </c>
      <c r="AI121" s="494">
        <f t="shared" si="45"/>
        <v>57980.340000000004</v>
      </c>
      <c r="AJ121" s="494">
        <f t="shared" si="45"/>
        <v>46959913.410709992</v>
      </c>
      <c r="AK121" s="494">
        <f t="shared" si="44"/>
        <v>0</v>
      </c>
      <c r="AL121" s="494">
        <f t="shared" si="44"/>
        <v>0</v>
      </c>
      <c r="AM121" s="494">
        <f t="shared" si="44"/>
        <v>0</v>
      </c>
      <c r="AN121" s="494">
        <f t="shared" si="44"/>
        <v>0</v>
      </c>
      <c r="AO121" s="494">
        <f t="shared" si="44"/>
        <v>0</v>
      </c>
      <c r="AP121" s="494">
        <f t="shared" si="44"/>
        <v>-244980865.4539476</v>
      </c>
      <c r="AQ121" s="494">
        <f t="shared" si="44"/>
        <v>24719599.411719467</v>
      </c>
      <c r="AR121" s="494">
        <f t="shared" si="44"/>
        <v>488404.91943644884</v>
      </c>
      <c r="AS121" s="1301">
        <f t="shared" si="44"/>
        <v>0</v>
      </c>
      <c r="AT121" s="494"/>
      <c r="AU121" s="494"/>
      <c r="AV121" s="494"/>
      <c r="AW121" s="494"/>
      <c r="AX121" s="494"/>
      <c r="AY121" s="494"/>
      <c r="AZ121" s="494"/>
      <c r="BB121" s="493">
        <f>SUM(BB115:BB120)</f>
        <v>-108023658.60120685</v>
      </c>
      <c r="BC121" s="493">
        <f>SUM(BC115:BC120)</f>
        <v>2802449377.1695061</v>
      </c>
      <c r="BD121" s="444"/>
      <c r="BE121" s="173"/>
      <c r="BF121" s="336"/>
    </row>
    <row r="122" spans="1:58" ht="15" outlineLevel="1" thickTop="1" x14ac:dyDescent="0.35">
      <c r="A122" s="336">
        <f t="shared" si="29"/>
        <v>47</v>
      </c>
      <c r="C122" s="509">
        <v>45291</v>
      </c>
      <c r="D122" s="466"/>
      <c r="E122" s="1279"/>
      <c r="AS122" s="1279"/>
      <c r="BB122" s="466"/>
      <c r="BC122" s="466"/>
      <c r="BD122" s="444"/>
      <c r="BE122" s="173"/>
      <c r="BF122" s="336"/>
    </row>
    <row r="123" spans="1:58" outlineLevel="1" x14ac:dyDescent="0.35">
      <c r="A123" s="336">
        <f t="shared" si="29"/>
        <v>48</v>
      </c>
      <c r="B123" s="329" t="s">
        <v>29</v>
      </c>
      <c r="C123" s="509">
        <v>45291</v>
      </c>
      <c r="D123" s="496">
        <f>+'Def, COC, ConvF DPK-7 '!C13</f>
        <v>7.3575000000000002E-2</v>
      </c>
      <c r="E123" s="1302">
        <f>+'Def, COC, ConvF DPK-7 '!C13</f>
        <v>7.3575000000000002E-2</v>
      </c>
      <c r="F123" s="497">
        <f>+'Def, COC, ConvF DPK-7 '!C13</f>
        <v>7.3575000000000002E-2</v>
      </c>
      <c r="G123" s="497">
        <f>+'Def, COC, ConvF DPK-7 '!C13</f>
        <v>7.3575000000000002E-2</v>
      </c>
      <c r="H123" s="497">
        <f>+'Def, COC, ConvF DPK-7 '!C13</f>
        <v>7.3575000000000002E-2</v>
      </c>
      <c r="I123" s="497">
        <f>+'Def, COC, ConvF DPK-7 '!C13</f>
        <v>7.3575000000000002E-2</v>
      </c>
      <c r="J123" s="497">
        <f>+'Def, COC, ConvF DPK-7 '!C13</f>
        <v>7.3575000000000002E-2</v>
      </c>
      <c r="K123" s="497">
        <f>+'Def, COC, ConvF DPK-7 '!C13</f>
        <v>7.3575000000000002E-2</v>
      </c>
      <c r="L123" s="497">
        <f>+'Def, COC, ConvF DPK-7 '!C13</f>
        <v>7.3575000000000002E-2</v>
      </c>
      <c r="M123" s="497">
        <f>+'Def, COC, ConvF DPK-7 '!C13</f>
        <v>7.3575000000000002E-2</v>
      </c>
      <c r="N123" s="497">
        <f>+'Def, COC, ConvF DPK-7 '!C13</f>
        <v>7.3575000000000002E-2</v>
      </c>
      <c r="O123" s="497">
        <f>+'Def, COC, ConvF DPK-7 '!C13</f>
        <v>7.3575000000000002E-2</v>
      </c>
      <c r="P123" s="497">
        <f>+'Def, COC, ConvF DPK-7 '!C13</f>
        <v>7.3575000000000002E-2</v>
      </c>
      <c r="Q123" s="497">
        <f>+'Def, COC, ConvF DPK-7 '!C13</f>
        <v>7.3575000000000002E-2</v>
      </c>
      <c r="R123" s="497">
        <f>+'Def, COC, ConvF DPK-7 '!C13</f>
        <v>7.3575000000000002E-2</v>
      </c>
      <c r="S123" s="497">
        <f>+'Def, COC, ConvF DPK-7 '!C13</f>
        <v>7.3575000000000002E-2</v>
      </c>
      <c r="T123" s="497">
        <f>+'Def, COC, ConvF DPK-7 '!C13</f>
        <v>7.3575000000000002E-2</v>
      </c>
      <c r="U123" s="497">
        <f>+'Def, COC, ConvF DPK-7 '!C13</f>
        <v>7.3575000000000002E-2</v>
      </c>
      <c r="V123" s="497">
        <f>+'Def, COC, ConvF DPK-7 '!C13</f>
        <v>7.3575000000000002E-2</v>
      </c>
      <c r="W123" s="497">
        <f>+'Def, COC, ConvF DPK-7 '!C13</f>
        <v>7.3575000000000002E-2</v>
      </c>
      <c r="X123" s="497">
        <f>+'Def, COC, ConvF DPK-7 '!C13</f>
        <v>7.3575000000000002E-2</v>
      </c>
      <c r="Y123" s="497">
        <f>+'Def, COC, ConvF DPK-7 '!C13</f>
        <v>7.3575000000000002E-2</v>
      </c>
      <c r="Z123" s="497">
        <f>+'Def, COC, ConvF DPK-7 '!C13</f>
        <v>7.3575000000000002E-2</v>
      </c>
      <c r="AA123" s="497">
        <f>+'Def, COC, ConvF DPK-7 '!C13</f>
        <v>7.3575000000000002E-2</v>
      </c>
      <c r="AB123" s="497">
        <f>+'Def, COC, ConvF DPK-7 '!C13</f>
        <v>7.3575000000000002E-2</v>
      </c>
      <c r="AC123" s="497">
        <f>+'Def, COC, ConvF DPK-7 '!C13</f>
        <v>7.3575000000000002E-2</v>
      </c>
      <c r="AD123" s="497">
        <f>+'Def, COC, ConvF DPK-7 '!C13</f>
        <v>7.3575000000000002E-2</v>
      </c>
      <c r="AE123" s="497">
        <f>+'Def, COC, ConvF DPK-7 '!C13</f>
        <v>7.3575000000000002E-2</v>
      </c>
      <c r="AF123" s="497">
        <f>+'Def, COC, ConvF DPK-7 '!C13</f>
        <v>7.3575000000000002E-2</v>
      </c>
      <c r="AG123" s="497">
        <f>+'Def, COC, ConvF DPK-7 '!C13</f>
        <v>7.3575000000000002E-2</v>
      </c>
      <c r="AH123" s="497">
        <f>+'Def, COC, ConvF DPK-7 '!C13</f>
        <v>7.3575000000000002E-2</v>
      </c>
      <c r="AI123" s="497">
        <f>+'Def, COC, ConvF DPK-7 '!C13</f>
        <v>7.3575000000000002E-2</v>
      </c>
      <c r="AJ123" s="497">
        <f>+'Def, COC, ConvF DPK-7 '!C13</f>
        <v>7.3575000000000002E-2</v>
      </c>
      <c r="AK123" s="497">
        <f>+'Def, COC, ConvF DPK-7 '!C13</f>
        <v>7.3575000000000002E-2</v>
      </c>
      <c r="AL123" s="497">
        <f>+'Def, COC, ConvF DPK-7 '!C13</f>
        <v>7.3575000000000002E-2</v>
      </c>
      <c r="AM123" s="497">
        <f>+'Def, COC, ConvF DPK-7 '!$C$13</f>
        <v>7.3575000000000002E-2</v>
      </c>
      <c r="AN123" s="497">
        <f>+'Def, COC, ConvF DPK-7 '!$C$13</f>
        <v>7.3575000000000002E-2</v>
      </c>
      <c r="AO123" s="497">
        <f>+'Def, COC, ConvF DPK-7 '!$C$13</f>
        <v>7.3575000000000002E-2</v>
      </c>
      <c r="AP123" s="497">
        <f>+'Def, COC, ConvF DPK-7 '!C13</f>
        <v>7.3575000000000002E-2</v>
      </c>
      <c r="AQ123" s="497">
        <f>+'Def, COC, ConvF DPK-7 '!C13</f>
        <v>7.3575000000000002E-2</v>
      </c>
      <c r="AR123" s="497">
        <f>+'Def, COC, ConvF DPK-7 '!C13</f>
        <v>7.3575000000000002E-2</v>
      </c>
      <c r="AS123" s="1302">
        <f>+AR123</f>
        <v>7.3575000000000002E-2</v>
      </c>
      <c r="AT123" s="497"/>
      <c r="AU123" s="497"/>
      <c r="AV123" s="497"/>
      <c r="AW123" s="497"/>
      <c r="AX123" s="497"/>
      <c r="AY123" s="497"/>
      <c r="AZ123" s="497"/>
      <c r="BB123" s="496">
        <f>+'Def, COC, ConvF DPK-7 '!C13</f>
        <v>7.3575000000000002E-2</v>
      </c>
      <c r="BC123" s="496">
        <f>+'Def, COC, ConvF DPK-7 '!C13</f>
        <v>7.3575000000000002E-2</v>
      </c>
      <c r="BD123" s="444"/>
      <c r="BE123" s="173"/>
      <c r="BF123" s="336"/>
    </row>
    <row r="124" spans="1:58" outlineLevel="1" x14ac:dyDescent="0.35">
      <c r="A124" s="336">
        <f t="shared" si="29"/>
        <v>49</v>
      </c>
      <c r="B124" s="329" t="s">
        <v>23</v>
      </c>
      <c r="C124" s="509">
        <v>45291</v>
      </c>
      <c r="D124" s="466">
        <f>+'Def, COC, ConvF DPK-7 '!P20</f>
        <v>0.75421300000000002</v>
      </c>
      <c r="E124" s="1279">
        <f>+'Def, COC, ConvF DPK-7 '!P20</f>
        <v>0.75421300000000002</v>
      </c>
      <c r="F124" s="329">
        <f>+'Def, COC, ConvF DPK-7 '!P20</f>
        <v>0.75421300000000002</v>
      </c>
      <c r="G124" s="329">
        <f>+'Def, COC, ConvF DPK-7 '!P20</f>
        <v>0.75421300000000002</v>
      </c>
      <c r="H124" s="329">
        <f>+'Def, COC, ConvF DPK-7 '!P20</f>
        <v>0.75421300000000002</v>
      </c>
      <c r="I124" s="329">
        <f>+'Def, COC, ConvF DPK-7 '!P20</f>
        <v>0.75421300000000002</v>
      </c>
      <c r="J124" s="329">
        <f>+'Def, COC, ConvF DPK-7 '!P20</f>
        <v>0.75421300000000002</v>
      </c>
      <c r="K124" s="329">
        <f>+'Def, COC, ConvF DPK-7 '!P20</f>
        <v>0.75421300000000002</v>
      </c>
      <c r="L124" s="329">
        <f>+'Def, COC, ConvF DPK-7 '!P20</f>
        <v>0.75421300000000002</v>
      </c>
      <c r="M124" s="329">
        <f>+'Def, COC, ConvF DPK-7 '!P20</f>
        <v>0.75421300000000002</v>
      </c>
      <c r="N124" s="329">
        <f>+'Def, COC, ConvF DPK-7 '!P20</f>
        <v>0.75421300000000002</v>
      </c>
      <c r="O124" s="329">
        <f>+'Def, COC, ConvF DPK-7 '!P20</f>
        <v>0.75421300000000002</v>
      </c>
      <c r="P124" s="329">
        <f>+'Def, COC, ConvF DPK-7 '!P20</f>
        <v>0.75421300000000002</v>
      </c>
      <c r="Q124" s="329">
        <f>+'Def, COC, ConvF DPK-7 '!P20</f>
        <v>0.75421300000000002</v>
      </c>
      <c r="R124" s="329">
        <f>+'Def, COC, ConvF DPK-7 '!P20</f>
        <v>0.75421300000000002</v>
      </c>
      <c r="S124" s="329">
        <f>+'Def, COC, ConvF DPK-7 '!P20</f>
        <v>0.75421300000000002</v>
      </c>
      <c r="T124" s="329">
        <f>+'Def, COC, ConvF DPK-7 '!P20</f>
        <v>0.75421300000000002</v>
      </c>
      <c r="U124" s="329">
        <f>+'Def, COC, ConvF DPK-7 '!P20</f>
        <v>0.75421300000000002</v>
      </c>
      <c r="V124" s="329">
        <f>+'Def, COC, ConvF DPK-7 '!P20</f>
        <v>0.75421300000000002</v>
      </c>
      <c r="W124" s="329">
        <f>+'Def, COC, ConvF DPK-7 '!P20</f>
        <v>0.75421300000000002</v>
      </c>
      <c r="X124" s="329">
        <f>+'Def, COC, ConvF DPK-7 '!P20</f>
        <v>0.75421300000000002</v>
      </c>
      <c r="Y124" s="329">
        <f>+'Def, COC, ConvF DPK-7 '!P20</f>
        <v>0.75421300000000002</v>
      </c>
      <c r="Z124" s="329">
        <f>+'Def, COC, ConvF DPK-7 '!P20</f>
        <v>0.75421300000000002</v>
      </c>
      <c r="AA124" s="329">
        <f>+'Def, COC, ConvF DPK-7 '!P20</f>
        <v>0.75421300000000002</v>
      </c>
      <c r="AB124" s="329">
        <f>+'Def, COC, ConvF DPK-7 '!P20</f>
        <v>0.75421300000000002</v>
      </c>
      <c r="AC124" s="329">
        <f>+'Def, COC, ConvF DPK-7 '!P20</f>
        <v>0.75421300000000002</v>
      </c>
      <c r="AD124" s="329">
        <f>+'Def, COC, ConvF DPK-7 '!P20</f>
        <v>0.75421300000000002</v>
      </c>
      <c r="AE124" s="329">
        <f>+'Def, COC, ConvF DPK-7 '!P20</f>
        <v>0.75421300000000002</v>
      </c>
      <c r="AF124" s="329">
        <f>+'Def, COC, ConvF DPK-7 '!P20</f>
        <v>0.75421300000000002</v>
      </c>
      <c r="AG124" s="329">
        <f>+'Def, COC, ConvF DPK-7 '!P20</f>
        <v>0.75421300000000002</v>
      </c>
      <c r="AH124" s="329">
        <f>+'Def, COC, ConvF DPK-7 '!P20</f>
        <v>0.75421300000000002</v>
      </c>
      <c r="AI124" s="329">
        <f>+'Def, COC, ConvF DPK-7 '!P20</f>
        <v>0.75421300000000002</v>
      </c>
      <c r="AJ124" s="329">
        <f>+'Def, COC, ConvF DPK-7 '!P20</f>
        <v>0.75421300000000002</v>
      </c>
      <c r="AK124" s="329">
        <f>+'Def, COC, ConvF DPK-7 '!P20</f>
        <v>0.75421300000000002</v>
      </c>
      <c r="AL124" s="329">
        <f>+'Def, COC, ConvF DPK-7 '!P20</f>
        <v>0.75421300000000002</v>
      </c>
      <c r="AM124" s="329">
        <f>+'Def, COC, ConvF DPK-7 '!$P$20</f>
        <v>0.75421300000000002</v>
      </c>
      <c r="AN124" s="329">
        <f>+'Def, COC, ConvF DPK-7 '!$P$20</f>
        <v>0.75421300000000002</v>
      </c>
      <c r="AO124" s="329">
        <f>+'Def, COC, ConvF DPK-7 '!$P$20</f>
        <v>0.75421300000000002</v>
      </c>
      <c r="AP124" s="329">
        <f>+'Def, COC, ConvF DPK-7 '!P20</f>
        <v>0.75421300000000002</v>
      </c>
      <c r="AQ124" s="329">
        <f>+'Def, COC, ConvF DPK-7 '!P20</f>
        <v>0.75421300000000002</v>
      </c>
      <c r="AR124" s="329">
        <f>+'Def, COC, ConvF DPK-7 '!P20</f>
        <v>0.75421300000000002</v>
      </c>
      <c r="AS124" s="1279">
        <f>+AR124</f>
        <v>0.75421300000000002</v>
      </c>
      <c r="BB124" s="466">
        <f>+'Def, COC, ConvF DPK-7 '!P20</f>
        <v>0.75421300000000002</v>
      </c>
      <c r="BC124" s="466">
        <f>+'Def, COC, ConvF DPK-7 '!P20</f>
        <v>0.75421300000000002</v>
      </c>
      <c r="BD124" s="444"/>
      <c r="BE124" s="173"/>
      <c r="BF124" s="336"/>
    </row>
    <row r="125" spans="1:58" outlineLevel="1" x14ac:dyDescent="0.35">
      <c r="A125" s="336">
        <f t="shared" si="29"/>
        <v>50</v>
      </c>
      <c r="B125" s="329" t="s">
        <v>186</v>
      </c>
      <c r="C125" s="509">
        <v>45291</v>
      </c>
      <c r="D125" s="470">
        <f>+D108-(D121*D123)</f>
        <v>-591943.09164831042</v>
      </c>
      <c r="E125" s="1303">
        <f t="shared" ref="E125:AS125" si="46">+E108-(E121*E123)</f>
        <v>-44024033.448781371</v>
      </c>
      <c r="F125" s="265">
        <f t="shared" si="46"/>
        <v>0</v>
      </c>
      <c r="G125" s="265">
        <f t="shared" si="46"/>
        <v>-17690711.461626638</v>
      </c>
      <c r="H125" s="265">
        <f t="shared" si="46"/>
        <v>133104.75165847223</v>
      </c>
      <c r="I125" s="265">
        <f t="shared" si="46"/>
        <v>-596614.66645446536</v>
      </c>
      <c r="J125" s="265">
        <f t="shared" si="46"/>
        <v>0</v>
      </c>
      <c r="K125" s="265">
        <f t="shared" si="46"/>
        <v>0</v>
      </c>
      <c r="L125" s="265">
        <f t="shared" si="46"/>
        <v>0</v>
      </c>
      <c r="M125" s="265">
        <f t="shared" si="46"/>
        <v>-203582.65075738163</v>
      </c>
      <c r="N125" s="265">
        <f t="shared" si="46"/>
        <v>0</v>
      </c>
      <c r="O125" s="265">
        <f t="shared" si="46"/>
        <v>-185023.04623741916</v>
      </c>
      <c r="P125" s="265">
        <f t="shared" si="46"/>
        <v>0</v>
      </c>
      <c r="Q125" s="265">
        <f t="shared" si="46"/>
        <v>0</v>
      </c>
      <c r="R125" s="265">
        <f t="shared" si="46"/>
        <v>0</v>
      </c>
      <c r="S125" s="265">
        <f t="shared" si="46"/>
        <v>0</v>
      </c>
      <c r="T125" s="265">
        <f t="shared" si="46"/>
        <v>0</v>
      </c>
      <c r="U125" s="265">
        <f t="shared" si="46"/>
        <v>0</v>
      </c>
      <c r="V125" s="265">
        <f t="shared" si="46"/>
        <v>0</v>
      </c>
      <c r="W125" s="265">
        <f t="shared" si="46"/>
        <v>0</v>
      </c>
      <c r="X125" s="265">
        <f t="shared" si="46"/>
        <v>0</v>
      </c>
      <c r="Y125" s="265">
        <f t="shared" si="46"/>
        <v>0</v>
      </c>
      <c r="Z125" s="265">
        <f t="shared" si="46"/>
        <v>0</v>
      </c>
      <c r="AA125" s="265">
        <f t="shared" si="46"/>
        <v>4357365.135013381</v>
      </c>
      <c r="AB125" s="265">
        <f t="shared" si="46"/>
        <v>-4255165.0438536834</v>
      </c>
      <c r="AC125" s="265">
        <f t="shared" si="46"/>
        <v>8365.7662636469395</v>
      </c>
      <c r="AD125" s="265">
        <f t="shared" si="46"/>
        <v>0</v>
      </c>
      <c r="AE125" s="265">
        <f t="shared" si="46"/>
        <v>5721621.0510559855</v>
      </c>
      <c r="AF125" s="265">
        <f t="shared" si="46"/>
        <v>30542.687914000002</v>
      </c>
      <c r="AG125" s="265">
        <f>+AG108-(AG121*AG123)</f>
        <v>-5176737.8009692812</v>
      </c>
      <c r="AH125" s="265">
        <f t="shared" ref="AH125:AP125" si="47">+AH108-(AH121*AH123)</f>
        <v>-4211009.8560584998</v>
      </c>
      <c r="AI125" s="265">
        <f t="shared" si="47"/>
        <v>-4753.9497154999999</v>
      </c>
      <c r="AJ125" s="265">
        <f t="shared" si="47"/>
        <v>-3755679.168911288</v>
      </c>
      <c r="AK125" s="265">
        <f t="shared" si="47"/>
        <v>0</v>
      </c>
      <c r="AL125" s="265">
        <f t="shared" si="47"/>
        <v>0</v>
      </c>
      <c r="AM125" s="265">
        <f t="shared" si="47"/>
        <v>0</v>
      </c>
      <c r="AN125" s="265">
        <f t="shared" si="47"/>
        <v>0</v>
      </c>
      <c r="AO125" s="265">
        <f t="shared" si="47"/>
        <v>0</v>
      </c>
      <c r="AP125" s="265">
        <f t="shared" si="47"/>
        <v>2879033.7135571949</v>
      </c>
      <c r="AQ125" s="265">
        <f t="shared" si="46"/>
        <v>-4193535.2362797158</v>
      </c>
      <c r="AR125" s="265">
        <f t="shared" si="46"/>
        <v>294505.61087224446</v>
      </c>
      <c r="AS125" s="1303">
        <f t="shared" si="46"/>
        <v>0</v>
      </c>
      <c r="AT125" s="265"/>
      <c r="AU125" s="265"/>
      <c r="AV125" s="265"/>
      <c r="AW125" s="265"/>
      <c r="AX125" s="265"/>
      <c r="AY125" s="265"/>
      <c r="AZ125" s="265"/>
      <c r="BB125" s="470">
        <f>SUM(E125:AZ125)</f>
        <v>-70872307.613310322</v>
      </c>
      <c r="BC125" s="470">
        <f>+BC108-(BC121*BC123)</f>
        <v>-71464250.704958498</v>
      </c>
      <c r="BD125" s="444"/>
      <c r="BE125" s="173"/>
      <c r="BF125" s="336"/>
    </row>
    <row r="126" spans="1:58" outlineLevel="1" x14ac:dyDescent="0.35">
      <c r="A126" s="336">
        <f t="shared" si="29"/>
        <v>51</v>
      </c>
      <c r="B126" s="329" t="s">
        <v>187</v>
      </c>
      <c r="C126" s="509">
        <v>45291</v>
      </c>
      <c r="D126" s="470">
        <f>-D125/D124</f>
        <v>784848.69877383497</v>
      </c>
      <c r="E126" s="1303">
        <f t="shared" ref="E126:AQ126" si="48">-E125/E124</f>
        <v>58370822.895894624</v>
      </c>
      <c r="F126" s="265">
        <f t="shared" si="48"/>
        <v>0</v>
      </c>
      <c r="G126" s="265">
        <f t="shared" si="48"/>
        <v>23455855.920842834</v>
      </c>
      <c r="H126" s="265">
        <f t="shared" si="48"/>
        <v>-176481.64597861908</v>
      </c>
      <c r="I126" s="265">
        <f t="shared" si="48"/>
        <v>791042.67157217569</v>
      </c>
      <c r="J126" s="265">
        <f t="shared" si="48"/>
        <v>0</v>
      </c>
      <c r="K126" s="265">
        <f t="shared" si="48"/>
        <v>0</v>
      </c>
      <c r="L126" s="265">
        <f t="shared" si="48"/>
        <v>0</v>
      </c>
      <c r="M126" s="265">
        <f t="shared" si="48"/>
        <v>269927.26293153479</v>
      </c>
      <c r="N126" s="265">
        <f t="shared" si="48"/>
        <v>0</v>
      </c>
      <c r="O126" s="265">
        <f t="shared" si="48"/>
        <v>245319.35439646247</v>
      </c>
      <c r="P126" s="265">
        <f t="shared" si="48"/>
        <v>0</v>
      </c>
      <c r="Q126" s="265">
        <f t="shared" si="48"/>
        <v>0</v>
      </c>
      <c r="R126" s="265">
        <f t="shared" si="48"/>
        <v>0</v>
      </c>
      <c r="S126" s="265">
        <f t="shared" si="48"/>
        <v>0</v>
      </c>
      <c r="T126" s="265">
        <f t="shared" si="48"/>
        <v>0</v>
      </c>
      <c r="U126" s="265">
        <f t="shared" si="48"/>
        <v>0</v>
      </c>
      <c r="V126" s="265">
        <f t="shared" si="48"/>
        <v>0</v>
      </c>
      <c r="W126" s="265">
        <f t="shared" si="48"/>
        <v>0</v>
      </c>
      <c r="X126" s="265">
        <f t="shared" si="48"/>
        <v>0</v>
      </c>
      <c r="Y126" s="265">
        <f t="shared" si="48"/>
        <v>0</v>
      </c>
      <c r="Z126" s="265">
        <f t="shared" si="48"/>
        <v>0</v>
      </c>
      <c r="AA126" s="265">
        <f t="shared" si="48"/>
        <v>-5777366.7849975815</v>
      </c>
      <c r="AB126" s="265">
        <f t="shared" si="48"/>
        <v>5641861.1769535709</v>
      </c>
      <c r="AC126" s="265">
        <f t="shared" si="48"/>
        <v>-11092.047291212084</v>
      </c>
      <c r="AD126" s="265">
        <f t="shared" si="48"/>
        <v>0</v>
      </c>
      <c r="AE126" s="265">
        <f t="shared" si="48"/>
        <v>-7586213.776553819</v>
      </c>
      <c r="AF126" s="265">
        <f t="shared" si="48"/>
        <v>-40496.10377174618</v>
      </c>
      <c r="AG126" s="265">
        <f>-AG125/AG124</f>
        <v>6863761.034308983</v>
      </c>
      <c r="AH126" s="265">
        <f t="shared" ref="AH126:AP126" si="49">-AH125/AH124</f>
        <v>5583316.4584255368</v>
      </c>
      <c r="AI126" s="265">
        <f t="shared" si="49"/>
        <v>6303.1924874007736</v>
      </c>
      <c r="AJ126" s="265">
        <f t="shared" si="49"/>
        <v>4979600.1512984894</v>
      </c>
      <c r="AK126" s="265">
        <f t="shared" si="49"/>
        <v>0</v>
      </c>
      <c r="AL126" s="265">
        <f>-AL125/AL124</f>
        <v>0</v>
      </c>
      <c r="AM126" s="265">
        <f>-AM125/AM124</f>
        <v>0</v>
      </c>
      <c r="AN126" s="265">
        <f t="shared" ref="AN126:AO126" si="50">-AN125/AN124</f>
        <v>0</v>
      </c>
      <c r="AO126" s="265">
        <f t="shared" si="50"/>
        <v>0</v>
      </c>
      <c r="AP126" s="265">
        <f t="shared" si="49"/>
        <v>-3817268.7471008785</v>
      </c>
      <c r="AQ126" s="265">
        <f t="shared" si="48"/>
        <v>5560147.1153105497</v>
      </c>
      <c r="AR126" s="265">
        <f>-AR125/AR124</f>
        <v>-390480.6876469173</v>
      </c>
      <c r="AS126" s="1303">
        <f>-AS125/AS124</f>
        <v>0</v>
      </c>
      <c r="AT126" s="265"/>
      <c r="AU126" s="265"/>
      <c r="AV126" s="265"/>
      <c r="AW126" s="265"/>
      <c r="AX126" s="265"/>
      <c r="AY126" s="265"/>
      <c r="AZ126" s="265"/>
      <c r="BB126" s="470">
        <f>SUM(E126:AZ126)</f>
        <v>93968557.441081405</v>
      </c>
      <c r="BC126" s="470">
        <f>-BC125/BC124</f>
        <v>94753406.139855042</v>
      </c>
      <c r="BD126" s="444"/>
      <c r="BE126" s="173"/>
      <c r="BF126" s="336"/>
    </row>
    <row r="127" spans="1:58" outlineLevel="1" x14ac:dyDescent="0.35">
      <c r="A127" s="336">
        <f t="shared" si="29"/>
        <v>52</v>
      </c>
      <c r="B127" s="329" t="s">
        <v>42</v>
      </c>
      <c r="C127" s="509">
        <v>45291</v>
      </c>
      <c r="D127" s="470"/>
      <c r="E127" s="1303"/>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1303"/>
      <c r="AT127" s="265"/>
      <c r="AU127" s="265"/>
      <c r="AV127" s="265"/>
      <c r="AW127" s="265"/>
      <c r="AX127" s="265"/>
      <c r="AY127" s="265"/>
      <c r="AZ127" s="265"/>
      <c r="BB127" s="470"/>
      <c r="BC127" s="470">
        <f>'Def, COC, ConvF DPK-7 '!C36+'Def, COC, ConvF DPK-7 '!C37</f>
        <v>0</v>
      </c>
      <c r="BD127" s="444"/>
      <c r="BE127" s="173"/>
      <c r="BF127" s="336"/>
    </row>
    <row r="128" spans="1:58" outlineLevel="1" x14ac:dyDescent="0.35">
      <c r="A128" s="336">
        <f t="shared" si="29"/>
        <v>53</v>
      </c>
      <c r="B128" s="329" t="s">
        <v>43</v>
      </c>
      <c r="C128" s="509">
        <v>45291</v>
      </c>
      <c r="D128" s="470"/>
      <c r="E128" s="1303"/>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1303"/>
      <c r="AT128" s="265"/>
      <c r="AU128" s="265"/>
      <c r="AV128" s="265"/>
      <c r="AW128" s="265"/>
      <c r="AX128" s="265"/>
      <c r="AY128" s="265"/>
      <c r="AZ128" s="265"/>
      <c r="BB128" s="470"/>
      <c r="BC128" s="512">
        <f>SUM(BC126:BC127)</f>
        <v>94753406.139855042</v>
      </c>
      <c r="BD128" s="444"/>
      <c r="BE128" s="173"/>
      <c r="BF128" s="336"/>
    </row>
    <row r="129" spans="1:58" outlineLevel="1" x14ac:dyDescent="0.35">
      <c r="A129" s="336">
        <f t="shared" si="29"/>
        <v>54</v>
      </c>
      <c r="C129" s="509">
        <v>45291</v>
      </c>
      <c r="D129" s="498"/>
      <c r="E129" s="1303"/>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1303"/>
      <c r="AT129" s="265"/>
      <c r="AU129" s="265"/>
      <c r="AV129" s="265"/>
      <c r="AW129" s="265"/>
      <c r="AX129" s="265"/>
      <c r="AY129" s="265"/>
      <c r="AZ129" s="265"/>
      <c r="BB129" s="498"/>
      <c r="BC129" s="498"/>
      <c r="BD129" s="444"/>
      <c r="BE129" s="173"/>
      <c r="BF129" s="336"/>
    </row>
    <row r="130" spans="1:58" outlineLevel="1" x14ac:dyDescent="0.35">
      <c r="A130" s="336">
        <f t="shared" si="29"/>
        <v>55</v>
      </c>
      <c r="C130" s="509">
        <v>45291</v>
      </c>
      <c r="E130" s="1279"/>
      <c r="AS130" s="1279"/>
      <c r="BB130" s="497">
        <f>+'Def, COC, ConvF DPK-7 '!K27</f>
        <v>7.3575000000000002E-2</v>
      </c>
      <c r="BC130" s="497">
        <f>+'Def, COC, ConvF DPK-7 '!K27</f>
        <v>7.3575000000000002E-2</v>
      </c>
      <c r="BD130" s="444"/>
      <c r="BE130" s="173"/>
      <c r="BF130" s="336"/>
    </row>
    <row r="131" spans="1:58" outlineLevel="1" x14ac:dyDescent="0.35">
      <c r="A131" s="336">
        <f t="shared" si="29"/>
        <v>56</v>
      </c>
      <c r="B131" s="499" t="s">
        <v>939</v>
      </c>
      <c r="C131" s="509">
        <v>45291</v>
      </c>
      <c r="D131" s="500"/>
      <c r="E131" s="1304">
        <f>ROUND('Common Adj'!G$71-E108,0)+E110</f>
        <v>0</v>
      </c>
      <c r="F131" s="551">
        <f>ROUND('Common Adj'!Y$65-F108,0)+F110</f>
        <v>0</v>
      </c>
      <c r="G131" s="551">
        <f>ROUND('Common Adj'!AQ$30-G108,0)+G110</f>
        <v>0</v>
      </c>
      <c r="H131" s="551">
        <f>ROUND('Common Adj'!BI$22-H108,0)+ROUND('Common Adj'!BI$24-H110,0)</f>
        <v>0</v>
      </c>
      <c r="I131" s="551">
        <f>ROUND('Common Adj'!CA$24-I108,0)+I110</f>
        <v>0</v>
      </c>
      <c r="J131" s="551">
        <f>ROUND('Common Adj'!CS$20-J108,0)+J110</f>
        <v>0</v>
      </c>
      <c r="K131" s="551">
        <f>ROUND('Common Adj'!DK$22-K108,0)+K110</f>
        <v>0</v>
      </c>
      <c r="L131" s="551">
        <f>ROUND('Common Adj'!EC$21-L108,0)+L110</f>
        <v>0</v>
      </c>
      <c r="M131" s="551">
        <f>ROUND('Common Adj'!EU$27-M108,0)+M110</f>
        <v>0</v>
      </c>
      <c r="N131" s="551">
        <f>ROUND('Common Adj'!FM$23-N108,0)+N110</f>
        <v>0</v>
      </c>
      <c r="O131" s="551">
        <f>ROUND('Common Adj'!GE$32-O108,0)+O110</f>
        <v>0</v>
      </c>
      <c r="P131" s="551">
        <f>ROUND('Common Adj'!GW$36-P108,0)+P110</f>
        <v>0</v>
      </c>
      <c r="Q131" s="551">
        <f>ROUND('Common Adj'!HO$18-Q108,0)+Q110</f>
        <v>0</v>
      </c>
      <c r="R131" s="551">
        <f>ROUND('Common Adj'!IG$21-R108,0)+R110</f>
        <v>0</v>
      </c>
      <c r="S131" s="551">
        <f>ROUND('Common Adj'!IY$22-S108,0)+S110</f>
        <v>0</v>
      </c>
      <c r="T131" s="551">
        <f>ROUND('Common Adj'!JQ$23-T108,0)+T110</f>
        <v>0</v>
      </c>
      <c r="U131" s="551">
        <f>ROUND('Common Adj'!KI$20-U108,0)+U110</f>
        <v>0</v>
      </c>
      <c r="V131" s="551">
        <f>ROUND('Common Adj'!LA$33-V108,0)+V110</f>
        <v>0</v>
      </c>
      <c r="W131" s="551">
        <f>ROUND('Common Adj'!LS$22-W110,0)+W108</f>
        <v>0</v>
      </c>
      <c r="X131" s="551">
        <f>ROUND('Common Adj'!MK$31-X108,0)+ROUND('Common Adj'!MK$36-X110,0)</f>
        <v>0</v>
      </c>
      <c r="Y131" s="551">
        <f>ROUND('Common Adj'!NC$22-Y108,0)+Y110</f>
        <v>0</v>
      </c>
      <c r="Z131" s="551">
        <f>ROUND('Common Adj'!NU$31-Z108,0)+Z110</f>
        <v>0</v>
      </c>
      <c r="AA131" s="551">
        <f>ROUND('Common Adj'!OM$35-AA108,0)+ROUND('Common Adj'!OM$24-AA110,0)</f>
        <v>0</v>
      </c>
      <c r="AB131" s="551">
        <f>ROUND('Common Adj'!PE$53-AB108,0)+ROUND('Common Adj'!PE$35-AB110,0)</f>
        <v>0</v>
      </c>
      <c r="AC131" s="551">
        <f>ROUND('Common Adj'!PW$21-AC108,0)+AC110</f>
        <v>0</v>
      </c>
      <c r="AD131" s="551">
        <f>ROUND('Common Adj'!QP19-AD110,0)</f>
        <v>0</v>
      </c>
      <c r="AE131" s="551">
        <f>ROUND('Common Adj'!RH31-AE108,0)+ROUND('Common Adj'!RH36-AE110,0)</f>
        <v>0</v>
      </c>
      <c r="AF131" s="551">
        <f>ROUND('Common Adj'!RZ30-AF108,0)+ROUND('Common Adj'!RZ35-AF110,0)</f>
        <v>0</v>
      </c>
      <c r="AG131" s="551">
        <f>ROUND('Common Adj'!$SR$26-AG108,0)+ROUND('Common Adj'!$SR$31-AG110,0)</f>
        <v>0</v>
      </c>
      <c r="AH131" s="551">
        <f>ROUND('Common Adj'!$SR$44-AH108,0)+ROUND('Common Adj'!$SR$49-AH110,0)</f>
        <v>0</v>
      </c>
      <c r="AI131" s="551">
        <f>ROUND('Common Adj'!$SR$62-AI108,0)+ROUND('Common Adj'!$SR$67-AI110,0)</f>
        <v>0</v>
      </c>
      <c r="AJ131" s="551">
        <f>ROUND('Common Adj'!$SR$80-AJ108,0)+ROUND('Common Adj'!$SR$85-AJ110,0)</f>
        <v>0</v>
      </c>
      <c r="AK131" s="551">
        <f>ROUND('Common Adj'!UD38-AK108,0)</f>
        <v>0</v>
      </c>
      <c r="AL131" s="551">
        <f>ROUND('Common Adj'!UW$27-AL108,0)+ROUND('Common Adj'!UW$19-AL110,0)</f>
        <v>0</v>
      </c>
      <c r="AM131" s="551">
        <f>ROUND('Common Adj'!TK$25-AM108,0)</f>
        <v>0</v>
      </c>
      <c r="AN131" s="551">
        <f>ROUND('Common Adj'!VP$32-AN108,0)+ROUND(AN121-'Common Adj'!VP24,0)</f>
        <v>0</v>
      </c>
      <c r="AO131" s="551">
        <f>ROUND('Common Adj'!WE$27-AO108,0)</f>
        <v>0</v>
      </c>
      <c r="AP131" s="551">
        <f>ROUND('Gas Adj'!BI$49-AP110,0)+ROUND('Gas Adj'!BI$33-AP108,0)</f>
        <v>0</v>
      </c>
      <c r="AQ131" s="551">
        <f>ROUND('Gas Adj'!CA$47-AQ108,0)+ROUND('Gas Adj'!CA$27-AQ110,0)</f>
        <v>0</v>
      </c>
      <c r="AR131" s="551">
        <f>ROUND('Gas Adj'!CS22-AR108+'Gas Adj'!CS31-AR110,0)</f>
        <v>0</v>
      </c>
      <c r="AS131" s="1304">
        <f>ROUND('Gas Adj'!DB22-AS108+'Gas Adj'!DB31-AS110,0)</f>
        <v>0</v>
      </c>
      <c r="AT131" s="547"/>
      <c r="AU131" s="548"/>
      <c r="AV131" s="549"/>
      <c r="AW131" s="549"/>
      <c r="AX131" s="549"/>
      <c r="AY131" s="549"/>
      <c r="AZ131" s="549"/>
      <c r="BB131" s="550"/>
      <c r="BC131" s="550"/>
      <c r="BD131" s="444"/>
      <c r="BF131" s="336"/>
    </row>
    <row r="132" spans="1:58" outlineLevel="1" x14ac:dyDescent="0.35">
      <c r="A132" s="336">
        <f t="shared" si="29"/>
        <v>57</v>
      </c>
      <c r="B132" s="499" t="s">
        <v>953</v>
      </c>
      <c r="C132" s="509">
        <v>45291</v>
      </c>
      <c r="D132" s="551">
        <f>'Summary DPK-7 '!E47-D108</f>
        <v>0</v>
      </c>
      <c r="E132" s="1279"/>
      <c r="AS132" s="1279"/>
      <c r="BC132" s="551">
        <f>'Summary DPK-7 '!G47-BC108</f>
        <v>0</v>
      </c>
      <c r="BD132" s="444"/>
      <c r="BF132" s="336"/>
    </row>
    <row r="133" spans="1:58" outlineLevel="1" x14ac:dyDescent="0.35">
      <c r="A133" s="336">
        <f t="shared" si="29"/>
        <v>58</v>
      </c>
      <c r="B133" s="499" t="s">
        <v>954</v>
      </c>
      <c r="C133" s="509">
        <v>45291</v>
      </c>
      <c r="D133" s="551">
        <f>'Summary DPK-7 '!E58-D121</f>
        <v>0</v>
      </c>
      <c r="E133" s="1279"/>
      <c r="AS133" s="1279"/>
      <c r="BC133" s="551">
        <f>'Summary DPK-7 '!G58-BC121</f>
        <v>0</v>
      </c>
      <c r="BD133" s="444"/>
      <c r="BF133" s="336"/>
    </row>
    <row r="134" spans="1:58" x14ac:dyDescent="0.35">
      <c r="A134" s="456"/>
      <c r="B134" s="503"/>
      <c r="C134" s="504"/>
      <c r="D134" s="462"/>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6"/>
      <c r="AY134" s="456"/>
      <c r="AZ134" s="456"/>
      <c r="BB134" s="456"/>
      <c r="BC134" s="462"/>
      <c r="BD134" s="444"/>
      <c r="BF134" s="336"/>
    </row>
    <row r="135" spans="1:58" outlineLevel="1" x14ac:dyDescent="0.35">
      <c r="A135" s="456"/>
      <c r="B135" s="458"/>
      <c r="C135" s="459" t="s">
        <v>891</v>
      </c>
      <c r="D135" s="460"/>
      <c r="E135" s="461">
        <v>45627</v>
      </c>
      <c r="F135" s="461">
        <v>45627</v>
      </c>
      <c r="G135" s="461">
        <v>45627</v>
      </c>
      <c r="H135" s="461">
        <v>45627</v>
      </c>
      <c r="I135" s="461">
        <v>45627</v>
      </c>
      <c r="J135" s="461">
        <v>45627</v>
      </c>
      <c r="K135" s="461">
        <v>45627</v>
      </c>
      <c r="L135" s="461">
        <v>45627</v>
      </c>
      <c r="M135" s="461">
        <v>45627</v>
      </c>
      <c r="N135" s="461">
        <v>45627</v>
      </c>
      <c r="O135" s="461">
        <v>45627</v>
      </c>
      <c r="P135" s="461">
        <v>45627</v>
      </c>
      <c r="Q135" s="461">
        <v>45627</v>
      </c>
      <c r="R135" s="461">
        <v>45627</v>
      </c>
      <c r="S135" s="461">
        <v>45627</v>
      </c>
      <c r="T135" s="461">
        <v>45627</v>
      </c>
      <c r="U135" s="461">
        <v>45627</v>
      </c>
      <c r="V135" s="461">
        <v>45627</v>
      </c>
      <c r="W135" s="461">
        <v>45627</v>
      </c>
      <c r="X135" s="461">
        <v>45627</v>
      </c>
      <c r="Y135" s="461">
        <v>45627</v>
      </c>
      <c r="Z135" s="461">
        <v>45627</v>
      </c>
      <c r="AA135" s="461">
        <v>45627</v>
      </c>
      <c r="AB135" s="461">
        <v>45627</v>
      </c>
      <c r="AC135" s="461">
        <v>45627</v>
      </c>
      <c r="AD135" s="461">
        <v>45627</v>
      </c>
      <c r="AE135" s="461">
        <v>45627</v>
      </c>
      <c r="AF135" s="461">
        <v>45627</v>
      </c>
      <c r="AG135" s="461">
        <v>45627</v>
      </c>
      <c r="AH135" s="461">
        <v>45627</v>
      </c>
      <c r="AI135" s="461">
        <v>45627</v>
      </c>
      <c r="AJ135" s="461">
        <v>45627</v>
      </c>
      <c r="AK135" s="461">
        <v>45627</v>
      </c>
      <c r="AL135" s="461">
        <v>45627</v>
      </c>
      <c r="AM135" s="461">
        <v>45627</v>
      </c>
      <c r="AN135" s="461">
        <v>45627</v>
      </c>
      <c r="AO135" s="461">
        <v>45627</v>
      </c>
      <c r="AP135" s="461">
        <v>45627</v>
      </c>
      <c r="AQ135" s="461">
        <v>45627</v>
      </c>
      <c r="AR135" s="461">
        <v>45627</v>
      </c>
      <c r="AS135" s="461">
        <v>45627</v>
      </c>
      <c r="AT135" s="461">
        <v>45627</v>
      </c>
      <c r="AU135" s="461">
        <v>45627</v>
      </c>
      <c r="AV135" s="461">
        <v>45627</v>
      </c>
      <c r="AW135" s="461">
        <v>45627</v>
      </c>
      <c r="AX135" s="461">
        <v>45627</v>
      </c>
      <c r="AY135" s="461">
        <v>45627</v>
      </c>
      <c r="AZ135" s="461">
        <v>45627</v>
      </c>
      <c r="BB135" s="461">
        <v>45627</v>
      </c>
      <c r="BC135" s="461">
        <v>45627</v>
      </c>
      <c r="BD135" s="444"/>
      <c r="BF135" s="336"/>
    </row>
    <row r="136" spans="1:58" outlineLevel="1" x14ac:dyDescent="0.35">
      <c r="A136" s="456"/>
      <c r="B136" s="458"/>
      <c r="C136" s="514">
        <v>2024</v>
      </c>
      <c r="D136" s="462"/>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c r="AA136" s="463"/>
      <c r="AB136" s="463"/>
      <c r="AC136" s="463"/>
      <c r="AD136" s="463"/>
      <c r="AE136" s="463"/>
      <c r="AF136" s="463"/>
      <c r="AG136" s="463"/>
      <c r="AH136" s="463"/>
      <c r="AI136" s="463"/>
      <c r="AJ136" s="463"/>
      <c r="AK136" s="463"/>
      <c r="AL136" s="463"/>
      <c r="AM136" s="463"/>
      <c r="AN136" s="463"/>
      <c r="AO136" s="463"/>
      <c r="AP136" s="463"/>
      <c r="AQ136" s="463"/>
      <c r="AR136" s="463"/>
      <c r="AS136" s="463"/>
      <c r="AT136" s="463"/>
      <c r="AU136" s="463"/>
      <c r="AV136" s="463"/>
      <c r="AW136" s="463"/>
      <c r="AX136" s="463"/>
      <c r="AY136" s="463"/>
      <c r="AZ136" s="463"/>
      <c r="BB136" s="456"/>
      <c r="BC136" s="462"/>
      <c r="BD136" s="444"/>
      <c r="BF136" s="336"/>
    </row>
    <row r="137" spans="1:58" outlineLevel="1" x14ac:dyDescent="0.35">
      <c r="A137" s="336">
        <f>1+A136</f>
        <v>1</v>
      </c>
      <c r="B137" s="464" t="s">
        <v>0</v>
      </c>
      <c r="C137" s="465" t="s">
        <v>925</v>
      </c>
      <c r="D137" s="476"/>
      <c r="E137" s="1279"/>
      <c r="AS137" s="1279"/>
      <c r="BB137" s="467"/>
      <c r="BC137" s="467"/>
      <c r="BD137" s="444"/>
      <c r="BF137" s="336"/>
    </row>
    <row r="138" spans="1:58" outlineLevel="1" x14ac:dyDescent="0.35">
      <c r="A138" s="336">
        <f t="shared" ref="A138:A193" si="51">1+A137</f>
        <v>2</v>
      </c>
      <c r="B138" s="464" t="s">
        <v>48</v>
      </c>
      <c r="C138" s="465" t="s">
        <v>925</v>
      </c>
      <c r="D138" s="467">
        <f>+BC77</f>
        <v>554175896.72602034</v>
      </c>
      <c r="E138" s="1305">
        <f>'Common Adj'!I37</f>
        <v>202019</v>
      </c>
      <c r="F138" s="468"/>
      <c r="G138" s="468"/>
      <c r="H138" s="468"/>
      <c r="I138" s="468"/>
      <c r="J138" s="469"/>
      <c r="K138" s="469"/>
      <c r="L138" s="469"/>
      <c r="M138" s="469"/>
      <c r="N138" s="469"/>
      <c r="O138" s="469"/>
      <c r="P138" s="469"/>
      <c r="Q138" s="469"/>
      <c r="R138" s="469"/>
      <c r="S138" s="469"/>
      <c r="T138" s="469"/>
      <c r="U138" s="469"/>
      <c r="V138" s="469"/>
      <c r="W138" s="469"/>
      <c r="X138" s="469"/>
      <c r="Y138" s="469"/>
      <c r="Z138" s="469"/>
      <c r="AA138" s="469"/>
      <c r="AB138" s="469"/>
      <c r="AC138" s="469"/>
      <c r="AD138" s="469"/>
      <c r="AE138" s="469"/>
      <c r="AF138" s="469"/>
      <c r="AG138" s="469"/>
      <c r="AH138" s="469"/>
      <c r="AI138" s="469"/>
      <c r="AJ138" s="469"/>
      <c r="AK138" s="469"/>
      <c r="AL138" s="469"/>
      <c r="AM138" s="468"/>
      <c r="AN138" s="469"/>
      <c r="AO138" s="469"/>
      <c r="AP138" s="469"/>
      <c r="AQ138" s="469"/>
      <c r="AR138" s="469"/>
      <c r="AS138" s="1289"/>
      <c r="AT138" s="469"/>
      <c r="AU138" s="469"/>
      <c r="AV138" s="469"/>
      <c r="AW138" s="469"/>
      <c r="AX138" s="469"/>
      <c r="AY138" s="469"/>
      <c r="AZ138" s="469"/>
      <c r="BB138" s="467">
        <f>SUM(E138:AZ138)</f>
        <v>202019</v>
      </c>
      <c r="BC138" s="467">
        <f>+BB138+BC77</f>
        <v>554377915.72602034</v>
      </c>
      <c r="BD138" s="444"/>
      <c r="BE138" s="173"/>
      <c r="BF138" s="336"/>
    </row>
    <row r="139" spans="1:58" outlineLevel="1" x14ac:dyDescent="0.35">
      <c r="A139" s="336">
        <f t="shared" si="51"/>
        <v>3</v>
      </c>
      <c r="B139" s="464" t="s">
        <v>49</v>
      </c>
      <c r="C139" s="465" t="s">
        <v>925</v>
      </c>
      <c r="D139" s="470">
        <f>+BC78</f>
        <v>0</v>
      </c>
      <c r="E139" s="1306"/>
      <c r="F139" s="471"/>
      <c r="G139" s="471"/>
      <c r="H139" s="471"/>
      <c r="I139" s="471"/>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2"/>
      <c r="AL139" s="472"/>
      <c r="AM139" s="471"/>
      <c r="AN139" s="472"/>
      <c r="AO139" s="472"/>
      <c r="AP139" s="472"/>
      <c r="AQ139" s="472"/>
      <c r="AR139" s="472"/>
      <c r="AS139" s="1290"/>
      <c r="AT139" s="472"/>
      <c r="AU139" s="472"/>
      <c r="AV139" s="472"/>
      <c r="AW139" s="472"/>
      <c r="AX139" s="472"/>
      <c r="AY139" s="472"/>
      <c r="AZ139" s="472"/>
      <c r="BB139" s="470">
        <f>SUM(E139:AZ139)</f>
        <v>0</v>
      </c>
      <c r="BC139" s="470">
        <f>+BB139+BC78</f>
        <v>0</v>
      </c>
      <c r="BD139" s="444"/>
      <c r="BE139" s="173"/>
      <c r="BF139" s="336"/>
    </row>
    <row r="140" spans="1:58" outlineLevel="1" x14ac:dyDescent="0.35">
      <c r="A140" s="336">
        <f t="shared" si="51"/>
        <v>4</v>
      </c>
      <c r="B140" s="464" t="s">
        <v>50</v>
      </c>
      <c r="C140" s="465" t="s">
        <v>925</v>
      </c>
      <c r="D140" s="470">
        <f>+BC79</f>
        <v>0</v>
      </c>
      <c r="E140" s="1306"/>
      <c r="F140" s="471"/>
      <c r="G140" s="471"/>
      <c r="H140" s="471"/>
      <c r="I140" s="471"/>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1"/>
      <c r="AN140" s="472"/>
      <c r="AO140" s="472"/>
      <c r="AP140" s="472"/>
      <c r="AQ140" s="472"/>
      <c r="AR140" s="472"/>
      <c r="AS140" s="1290"/>
      <c r="AT140" s="472"/>
      <c r="AU140" s="472"/>
      <c r="AV140" s="472"/>
      <c r="AW140" s="472"/>
      <c r="AX140" s="472"/>
      <c r="AY140" s="472"/>
      <c r="AZ140" s="472"/>
      <c r="BB140" s="470">
        <f>SUM(E140:AZ140)</f>
        <v>0</v>
      </c>
      <c r="BC140" s="470">
        <f>+BB140+BC79</f>
        <v>0</v>
      </c>
      <c r="BD140" s="444"/>
      <c r="BE140" s="173"/>
      <c r="BF140" s="336"/>
    </row>
    <row r="141" spans="1:58" outlineLevel="1" x14ac:dyDescent="0.35">
      <c r="A141" s="336">
        <f t="shared" si="51"/>
        <v>5</v>
      </c>
      <c r="B141" s="464" t="s">
        <v>51</v>
      </c>
      <c r="C141" s="465" t="s">
        <v>925</v>
      </c>
      <c r="D141" s="470">
        <f>+BC80</f>
        <v>-561667.03829758987</v>
      </c>
      <c r="E141" s="1306"/>
      <c r="F141" s="471"/>
      <c r="G141" s="471"/>
      <c r="H141" s="471"/>
      <c r="I141" s="471"/>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1"/>
      <c r="AN141" s="472"/>
      <c r="AO141" s="472"/>
      <c r="AP141" s="472"/>
      <c r="AQ141" s="472">
        <f>-'Gas Adj'!CC33-'Gas Adj'!CC36</f>
        <v>-43122.744148794794</v>
      </c>
      <c r="AR141" s="472"/>
      <c r="AS141" s="1290"/>
      <c r="AT141" s="472"/>
      <c r="AU141" s="472"/>
      <c r="AV141" s="472"/>
      <c r="AW141" s="472"/>
      <c r="AX141" s="472"/>
      <c r="AY141" s="472"/>
      <c r="AZ141" s="472"/>
      <c r="BB141" s="470">
        <f>SUM(E141:AZ141)</f>
        <v>-43122.744148794794</v>
      </c>
      <c r="BC141" s="470">
        <f>+BB141+BC80</f>
        <v>-604789.78244638466</v>
      </c>
      <c r="BD141" s="444"/>
      <c r="BE141" s="173"/>
      <c r="BF141" s="336"/>
    </row>
    <row r="142" spans="1:58" outlineLevel="1" x14ac:dyDescent="0.35">
      <c r="A142" s="336">
        <f t="shared" si="51"/>
        <v>6</v>
      </c>
      <c r="B142" s="464" t="s">
        <v>58</v>
      </c>
      <c r="C142" s="465" t="s">
        <v>925</v>
      </c>
      <c r="D142" s="473">
        <f>SUM(D138:D141)</f>
        <v>553614229.6877228</v>
      </c>
      <c r="E142" s="1307">
        <f t="shared" ref="E142:AS142" si="52">SUM(E138:E141)</f>
        <v>202019</v>
      </c>
      <c r="F142" s="474">
        <f t="shared" si="52"/>
        <v>0</v>
      </c>
      <c r="G142" s="474">
        <f t="shared" si="52"/>
        <v>0</v>
      </c>
      <c r="H142" s="474">
        <f t="shared" si="52"/>
        <v>0</v>
      </c>
      <c r="I142" s="474">
        <f t="shared" si="52"/>
        <v>0</v>
      </c>
      <c r="J142" s="436">
        <f t="shared" si="52"/>
        <v>0</v>
      </c>
      <c r="K142" s="436">
        <f t="shared" si="52"/>
        <v>0</v>
      </c>
      <c r="L142" s="436">
        <f t="shared" si="52"/>
        <v>0</v>
      </c>
      <c r="M142" s="436">
        <f t="shared" si="52"/>
        <v>0</v>
      </c>
      <c r="N142" s="436">
        <f t="shared" si="52"/>
        <v>0</v>
      </c>
      <c r="O142" s="436">
        <f t="shared" si="52"/>
        <v>0</v>
      </c>
      <c r="P142" s="436">
        <f t="shared" si="52"/>
        <v>0</v>
      </c>
      <c r="Q142" s="436">
        <f t="shared" si="52"/>
        <v>0</v>
      </c>
      <c r="R142" s="436">
        <f t="shared" si="52"/>
        <v>0</v>
      </c>
      <c r="S142" s="436">
        <f t="shared" si="52"/>
        <v>0</v>
      </c>
      <c r="T142" s="436">
        <f t="shared" si="52"/>
        <v>0</v>
      </c>
      <c r="U142" s="436">
        <f t="shared" si="52"/>
        <v>0</v>
      </c>
      <c r="V142" s="436">
        <f t="shared" si="52"/>
        <v>0</v>
      </c>
      <c r="W142" s="436">
        <f t="shared" si="52"/>
        <v>0</v>
      </c>
      <c r="X142" s="436">
        <f t="shared" si="52"/>
        <v>0</v>
      </c>
      <c r="Y142" s="436">
        <f t="shared" si="52"/>
        <v>0</v>
      </c>
      <c r="Z142" s="436">
        <f t="shared" si="52"/>
        <v>0</v>
      </c>
      <c r="AA142" s="436">
        <f t="shared" si="52"/>
        <v>0</v>
      </c>
      <c r="AB142" s="436">
        <f t="shared" si="52"/>
        <v>0</v>
      </c>
      <c r="AC142" s="436">
        <f t="shared" si="52"/>
        <v>0</v>
      </c>
      <c r="AD142" s="436">
        <f t="shared" si="52"/>
        <v>0</v>
      </c>
      <c r="AE142" s="436">
        <f>SUM(AE138:AE141)</f>
        <v>0</v>
      </c>
      <c r="AF142" s="436">
        <f>SUM(AF138:AF141)</f>
        <v>0</v>
      </c>
      <c r="AG142" s="436">
        <f>SUM(AG138:AG141)</f>
        <v>0</v>
      </c>
      <c r="AH142" s="436">
        <f t="shared" ref="AH142:AJ142" si="53">SUM(AH138:AH141)</f>
        <v>0</v>
      </c>
      <c r="AI142" s="436">
        <f t="shared" si="53"/>
        <v>0</v>
      </c>
      <c r="AJ142" s="436">
        <f t="shared" si="53"/>
        <v>0</v>
      </c>
      <c r="AK142" s="436">
        <f t="shared" si="52"/>
        <v>0</v>
      </c>
      <c r="AL142" s="436">
        <f t="shared" si="52"/>
        <v>0</v>
      </c>
      <c r="AM142" s="474">
        <f t="shared" si="52"/>
        <v>0</v>
      </c>
      <c r="AN142" s="474">
        <f t="shared" si="52"/>
        <v>0</v>
      </c>
      <c r="AO142" s="474">
        <f t="shared" si="52"/>
        <v>0</v>
      </c>
      <c r="AP142" s="436">
        <f t="shared" si="52"/>
        <v>0</v>
      </c>
      <c r="AQ142" s="436">
        <f t="shared" si="52"/>
        <v>-43122.744148794794</v>
      </c>
      <c r="AR142" s="436">
        <f t="shared" si="52"/>
        <v>0</v>
      </c>
      <c r="AS142" s="1291">
        <f t="shared" si="52"/>
        <v>0</v>
      </c>
      <c r="AT142" s="436"/>
      <c r="AU142" s="436"/>
      <c r="AV142" s="436"/>
      <c r="AW142" s="436"/>
      <c r="AX142" s="436"/>
      <c r="AY142" s="436"/>
      <c r="AZ142" s="436"/>
      <c r="BB142" s="473">
        <f>SUM(BB138:BB141)</f>
        <v>158896.25585120521</v>
      </c>
      <c r="BC142" s="473">
        <f>SUM(BC138:BC141)</f>
        <v>553773125.94357395</v>
      </c>
      <c r="BD142" s="444"/>
      <c r="BE142" s="173"/>
      <c r="BF142" s="336"/>
    </row>
    <row r="143" spans="1:58" outlineLevel="1" x14ac:dyDescent="0.35">
      <c r="A143" s="336">
        <f t="shared" si="51"/>
        <v>7</v>
      </c>
      <c r="B143" s="475"/>
      <c r="C143" s="465" t="s">
        <v>925</v>
      </c>
      <c r="D143" s="470"/>
      <c r="E143" s="1306"/>
      <c r="F143" s="471"/>
      <c r="G143" s="471"/>
      <c r="H143" s="471"/>
      <c r="I143" s="471"/>
      <c r="J143" s="472"/>
      <c r="K143" s="472"/>
      <c r="L143" s="472"/>
      <c r="M143" s="472"/>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472"/>
      <c r="AL143" s="472"/>
      <c r="AM143" s="471"/>
      <c r="AN143" s="472"/>
      <c r="AO143" s="472"/>
      <c r="AP143" s="472"/>
      <c r="AQ143" s="472"/>
      <c r="AR143" s="472"/>
      <c r="AS143" s="1290"/>
      <c r="AT143" s="472"/>
      <c r="AU143" s="472"/>
      <c r="AV143" s="472"/>
      <c r="AW143" s="472"/>
      <c r="AX143" s="472"/>
      <c r="AY143" s="472"/>
      <c r="AZ143" s="472"/>
      <c r="BB143" s="470"/>
      <c r="BC143" s="470"/>
      <c r="BD143" s="444"/>
      <c r="BE143" s="173"/>
      <c r="BF143" s="336"/>
    </row>
    <row r="144" spans="1:58" outlineLevel="1" x14ac:dyDescent="0.35">
      <c r="A144" s="336">
        <f t="shared" si="51"/>
        <v>8</v>
      </c>
      <c r="B144" s="464" t="s">
        <v>52</v>
      </c>
      <c r="C144" s="465" t="s">
        <v>925</v>
      </c>
      <c r="D144" s="466"/>
      <c r="E144" s="1308"/>
      <c r="F144" s="341"/>
      <c r="G144" s="341"/>
      <c r="H144" s="341"/>
      <c r="I144" s="341"/>
      <c r="AM144" s="341"/>
      <c r="AS144" s="1279"/>
      <c r="BB144" s="466"/>
      <c r="BC144" s="466"/>
      <c r="BD144" s="444"/>
      <c r="BE144" s="173"/>
      <c r="BF144" s="336"/>
    </row>
    <row r="145" spans="1:58" outlineLevel="1" x14ac:dyDescent="0.35">
      <c r="A145" s="336">
        <f t="shared" si="51"/>
        <v>9</v>
      </c>
      <c r="C145" s="465" t="s">
        <v>925</v>
      </c>
      <c r="D145" s="466"/>
      <c r="E145" s="1308"/>
      <c r="F145" s="341"/>
      <c r="G145" s="341"/>
      <c r="H145" s="341"/>
      <c r="I145" s="341"/>
      <c r="AM145" s="341"/>
      <c r="AS145" s="1279"/>
      <c r="BB145" s="466"/>
      <c r="BC145" s="466"/>
      <c r="BD145" s="444"/>
      <c r="BE145" s="173"/>
      <c r="BF145" s="336"/>
    </row>
    <row r="146" spans="1:58" outlineLevel="1" x14ac:dyDescent="0.35">
      <c r="A146" s="336">
        <f t="shared" si="51"/>
        <v>10</v>
      </c>
      <c r="B146" s="464" t="s">
        <v>53</v>
      </c>
      <c r="C146" s="465" t="s">
        <v>925</v>
      </c>
      <c r="D146" s="466"/>
      <c r="E146" s="1308"/>
      <c r="F146" s="341"/>
      <c r="G146" s="341"/>
      <c r="H146" s="341"/>
      <c r="I146" s="341"/>
      <c r="AM146" s="341"/>
      <c r="AS146" s="1279"/>
      <c r="BB146" s="466"/>
      <c r="BC146" s="466"/>
      <c r="BD146" s="444"/>
      <c r="BE146" s="173"/>
      <c r="BF146" s="336"/>
    </row>
    <row r="147" spans="1:58" outlineLevel="1" x14ac:dyDescent="0.35">
      <c r="A147" s="336">
        <f t="shared" si="51"/>
        <v>11</v>
      </c>
      <c r="B147" s="464" t="s">
        <v>54</v>
      </c>
      <c r="C147" s="465" t="s">
        <v>925</v>
      </c>
      <c r="D147" s="476">
        <f>+BC86</f>
        <v>0</v>
      </c>
      <c r="E147" s="1309"/>
      <c r="F147" s="420"/>
      <c r="G147" s="420"/>
      <c r="H147" s="420"/>
      <c r="I147" s="420"/>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420"/>
      <c r="AN147" s="173"/>
      <c r="AO147" s="173"/>
      <c r="AP147" s="173"/>
      <c r="AQ147" s="173"/>
      <c r="AR147" s="173"/>
      <c r="AS147" s="1292"/>
      <c r="AT147" s="173"/>
      <c r="AU147" s="173"/>
      <c r="AV147" s="173"/>
      <c r="AW147" s="173"/>
      <c r="AX147" s="173"/>
      <c r="AY147" s="173"/>
      <c r="AZ147" s="173"/>
      <c r="BB147" s="476">
        <f>SUM(E147:AZ147)</f>
        <v>0</v>
      </c>
      <c r="BC147" s="476">
        <f>+BB147+BC86</f>
        <v>0</v>
      </c>
      <c r="BD147" s="444"/>
      <c r="BE147" s="173"/>
      <c r="BF147" s="336"/>
    </row>
    <row r="148" spans="1:58" outlineLevel="1" x14ac:dyDescent="0.35">
      <c r="A148" s="336">
        <f t="shared" si="51"/>
        <v>12</v>
      </c>
      <c r="B148" s="464" t="s">
        <v>55</v>
      </c>
      <c r="C148" s="465" t="s">
        <v>925</v>
      </c>
      <c r="D148" s="470">
        <f>+BC87</f>
        <v>0</v>
      </c>
      <c r="E148" s="1306"/>
      <c r="F148" s="471"/>
      <c r="G148" s="471"/>
      <c r="H148" s="471"/>
      <c r="I148" s="471"/>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2"/>
      <c r="AL148" s="472"/>
      <c r="AM148" s="471"/>
      <c r="AN148" s="472"/>
      <c r="AO148" s="472"/>
      <c r="AP148" s="472"/>
      <c r="AQ148" s="472"/>
      <c r="AR148" s="472"/>
      <c r="AS148" s="1290"/>
      <c r="AT148" s="472"/>
      <c r="AU148" s="472"/>
      <c r="AV148" s="472"/>
      <c r="AW148" s="472"/>
      <c r="AX148" s="472"/>
      <c r="AY148" s="472"/>
      <c r="AZ148" s="472"/>
      <c r="BB148" s="470">
        <f>SUM(E148:AZ148)</f>
        <v>0</v>
      </c>
      <c r="BC148" s="470">
        <f>+BB148+BC87</f>
        <v>0</v>
      </c>
      <c r="BD148" s="444"/>
      <c r="BE148" s="173"/>
      <c r="BF148" s="336"/>
    </row>
    <row r="149" spans="1:58" outlineLevel="1" x14ac:dyDescent="0.35">
      <c r="A149" s="336">
        <f t="shared" si="51"/>
        <v>13</v>
      </c>
      <c r="B149" s="464" t="s">
        <v>56</v>
      </c>
      <c r="C149" s="465" t="s">
        <v>925</v>
      </c>
      <c r="D149" s="470">
        <f>+BC88</f>
        <v>0</v>
      </c>
      <c r="E149" s="1306"/>
      <c r="F149" s="471"/>
      <c r="G149" s="471"/>
      <c r="H149" s="471"/>
      <c r="I149" s="471"/>
      <c r="J149" s="472"/>
      <c r="K149" s="472"/>
      <c r="L149" s="472"/>
      <c r="M149" s="472"/>
      <c r="N149" s="472"/>
      <c r="O149" s="472"/>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2"/>
      <c r="AL149" s="472"/>
      <c r="AM149" s="471"/>
      <c r="AN149" s="472"/>
      <c r="AO149" s="472"/>
      <c r="AP149" s="472"/>
      <c r="AQ149" s="472"/>
      <c r="AR149" s="472"/>
      <c r="AS149" s="1290"/>
      <c r="AT149" s="472"/>
      <c r="AU149" s="472"/>
      <c r="AV149" s="472"/>
      <c r="AW149" s="472"/>
      <c r="AX149" s="472"/>
      <c r="AY149" s="472"/>
      <c r="AZ149" s="472"/>
      <c r="BB149" s="470">
        <f>SUM(E149:AZ149)</f>
        <v>0</v>
      </c>
      <c r="BC149" s="470">
        <f>+BB149+BC88</f>
        <v>0</v>
      </c>
      <c r="BD149" s="444"/>
      <c r="BE149" s="173"/>
      <c r="BF149" s="336"/>
    </row>
    <row r="150" spans="1:58" outlineLevel="1" x14ac:dyDescent="0.35">
      <c r="A150" s="336">
        <f t="shared" si="51"/>
        <v>14</v>
      </c>
      <c r="B150" s="329" t="s">
        <v>57</v>
      </c>
      <c r="C150" s="465" t="s">
        <v>925</v>
      </c>
      <c r="D150" s="470">
        <f>+BC89</f>
        <v>0</v>
      </c>
      <c r="E150" s="1306"/>
      <c r="F150" s="471"/>
      <c r="G150" s="471"/>
      <c r="H150" s="471"/>
      <c r="I150" s="471"/>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2"/>
      <c r="AL150" s="472"/>
      <c r="AM150" s="471"/>
      <c r="AN150" s="472"/>
      <c r="AO150" s="472"/>
      <c r="AP150" s="472"/>
      <c r="AQ150" s="472"/>
      <c r="AR150" s="472"/>
      <c r="AS150" s="1290"/>
      <c r="AT150" s="472"/>
      <c r="AU150" s="472"/>
      <c r="AV150" s="472"/>
      <c r="AW150" s="472"/>
      <c r="AX150" s="472"/>
      <c r="AY150" s="472"/>
      <c r="AZ150" s="472"/>
      <c r="BB150" s="470">
        <f>SUM(E150:AZ150)</f>
        <v>0</v>
      </c>
      <c r="BC150" s="470">
        <f>+BB150+BC89</f>
        <v>0</v>
      </c>
      <c r="BD150" s="444"/>
      <c r="BE150" s="173"/>
      <c r="BF150" s="336"/>
    </row>
    <row r="151" spans="1:58" outlineLevel="1" x14ac:dyDescent="0.35">
      <c r="A151" s="336">
        <f t="shared" si="51"/>
        <v>15</v>
      </c>
      <c r="B151" s="464" t="s">
        <v>1</v>
      </c>
      <c r="C151" s="465" t="s">
        <v>925</v>
      </c>
      <c r="D151" s="477">
        <f>SUM(D146:D150)</f>
        <v>0</v>
      </c>
      <c r="E151" s="1310">
        <f t="shared" ref="E151:AS151" si="54">SUM(E146:E150)</f>
        <v>0</v>
      </c>
      <c r="F151" s="478">
        <f t="shared" si="54"/>
        <v>0</v>
      </c>
      <c r="G151" s="478">
        <f t="shared" si="54"/>
        <v>0</v>
      </c>
      <c r="H151" s="478">
        <f t="shared" si="54"/>
        <v>0</v>
      </c>
      <c r="I151" s="478">
        <f t="shared" si="54"/>
        <v>0</v>
      </c>
      <c r="J151" s="479">
        <f t="shared" si="54"/>
        <v>0</v>
      </c>
      <c r="K151" s="479">
        <f t="shared" si="54"/>
        <v>0</v>
      </c>
      <c r="L151" s="479">
        <f t="shared" si="54"/>
        <v>0</v>
      </c>
      <c r="M151" s="479">
        <f t="shared" si="54"/>
        <v>0</v>
      </c>
      <c r="N151" s="479">
        <f t="shared" si="54"/>
        <v>0</v>
      </c>
      <c r="O151" s="479">
        <f t="shared" si="54"/>
        <v>0</v>
      </c>
      <c r="P151" s="479">
        <f t="shared" si="54"/>
        <v>0</v>
      </c>
      <c r="Q151" s="479">
        <f t="shared" si="54"/>
        <v>0</v>
      </c>
      <c r="R151" s="479">
        <f t="shared" si="54"/>
        <v>0</v>
      </c>
      <c r="S151" s="479">
        <f t="shared" si="54"/>
        <v>0</v>
      </c>
      <c r="T151" s="479">
        <f t="shared" si="54"/>
        <v>0</v>
      </c>
      <c r="U151" s="479">
        <f t="shared" si="54"/>
        <v>0</v>
      </c>
      <c r="V151" s="479">
        <f t="shared" si="54"/>
        <v>0</v>
      </c>
      <c r="W151" s="479">
        <f t="shared" si="54"/>
        <v>0</v>
      </c>
      <c r="X151" s="479">
        <f t="shared" si="54"/>
        <v>0</v>
      </c>
      <c r="Y151" s="479">
        <f t="shared" si="54"/>
        <v>0</v>
      </c>
      <c r="Z151" s="479">
        <f t="shared" si="54"/>
        <v>0</v>
      </c>
      <c r="AA151" s="479">
        <f t="shared" si="54"/>
        <v>0</v>
      </c>
      <c r="AB151" s="479">
        <f t="shared" si="54"/>
        <v>0</v>
      </c>
      <c r="AC151" s="479">
        <f t="shared" si="54"/>
        <v>0</v>
      </c>
      <c r="AD151" s="479">
        <f t="shared" si="54"/>
        <v>0</v>
      </c>
      <c r="AE151" s="479">
        <f>SUM(AE146:AE150)</f>
        <v>0</v>
      </c>
      <c r="AF151" s="479">
        <f>SUM(AF146:AF150)</f>
        <v>0</v>
      </c>
      <c r="AG151" s="479">
        <f>SUM(AG146:AG150)</f>
        <v>0</v>
      </c>
      <c r="AH151" s="479">
        <f t="shared" ref="AH151:AJ151" si="55">SUM(AH146:AH150)</f>
        <v>0</v>
      </c>
      <c r="AI151" s="479">
        <f t="shared" si="55"/>
        <v>0</v>
      </c>
      <c r="AJ151" s="479">
        <f t="shared" si="55"/>
        <v>0</v>
      </c>
      <c r="AK151" s="479">
        <f t="shared" si="54"/>
        <v>0</v>
      </c>
      <c r="AL151" s="479">
        <f t="shared" si="54"/>
        <v>0</v>
      </c>
      <c r="AM151" s="479">
        <f t="shared" si="54"/>
        <v>0</v>
      </c>
      <c r="AN151" s="479">
        <f t="shared" si="54"/>
        <v>0</v>
      </c>
      <c r="AO151" s="479">
        <f t="shared" si="54"/>
        <v>0</v>
      </c>
      <c r="AP151" s="479">
        <f t="shared" si="54"/>
        <v>0</v>
      </c>
      <c r="AQ151" s="479">
        <f t="shared" si="54"/>
        <v>0</v>
      </c>
      <c r="AR151" s="479">
        <f t="shared" si="54"/>
        <v>0</v>
      </c>
      <c r="AS151" s="1293">
        <f t="shared" si="54"/>
        <v>0</v>
      </c>
      <c r="AT151" s="479"/>
      <c r="AU151" s="479"/>
      <c r="AV151" s="479"/>
      <c r="AW151" s="479"/>
      <c r="AX151" s="479"/>
      <c r="AY151" s="479"/>
      <c r="AZ151" s="479"/>
      <c r="BB151" s="477">
        <f>SUM(BB146:BB150)</f>
        <v>0</v>
      </c>
      <c r="BC151" s="477">
        <f>SUM(BC146:BC150)</f>
        <v>0</v>
      </c>
      <c r="BD151" s="444"/>
      <c r="BE151" s="173"/>
      <c r="BF151" s="336"/>
    </row>
    <row r="152" spans="1:58" outlineLevel="1" x14ac:dyDescent="0.35">
      <c r="A152" s="336">
        <f t="shared" si="51"/>
        <v>16</v>
      </c>
      <c r="B152" s="464"/>
      <c r="C152" s="465" t="s">
        <v>925</v>
      </c>
      <c r="D152" s="476"/>
      <c r="E152" s="1309"/>
      <c r="F152" s="420"/>
      <c r="G152" s="420"/>
      <c r="H152" s="420"/>
      <c r="I152" s="420"/>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292"/>
      <c r="AT152" s="173"/>
      <c r="AU152" s="173"/>
      <c r="AV152" s="173"/>
      <c r="AW152" s="173"/>
      <c r="AX152" s="173"/>
      <c r="AY152" s="173"/>
      <c r="AZ152" s="173"/>
      <c r="BB152" s="476"/>
      <c r="BC152" s="476"/>
      <c r="BD152" s="444"/>
      <c r="BE152" s="173"/>
      <c r="BF152" s="336"/>
    </row>
    <row r="153" spans="1:58" outlineLevel="1" x14ac:dyDescent="0.35">
      <c r="A153" s="336">
        <f t="shared" si="51"/>
        <v>17</v>
      </c>
      <c r="B153" s="480" t="s">
        <v>59</v>
      </c>
      <c r="C153" s="465" t="s">
        <v>925</v>
      </c>
      <c r="D153" s="470">
        <f t="shared" ref="D153:D166" si="56">+BC92</f>
        <v>7868532.0721845422</v>
      </c>
      <c r="E153" s="1290"/>
      <c r="F153" s="472"/>
      <c r="G153" s="472"/>
      <c r="H153" s="472"/>
      <c r="I153" s="472"/>
      <c r="J153" s="472"/>
      <c r="K153" s="472"/>
      <c r="L153" s="472"/>
      <c r="M153" s="472"/>
      <c r="N153" s="472"/>
      <c r="O153" s="472">
        <f>'Common Adj'!GG18+'Common Adj'!GG17+'Common Adj'!GG19</f>
        <v>7528.1196549577071</v>
      </c>
      <c r="P153" s="472"/>
      <c r="Q153" s="472"/>
      <c r="R153" s="472"/>
      <c r="S153" s="472"/>
      <c r="T153" s="472"/>
      <c r="U153" s="472"/>
      <c r="V153" s="472"/>
      <c r="W153" s="472"/>
      <c r="X153" s="472"/>
      <c r="Y153" s="472"/>
      <c r="Z153" s="472"/>
      <c r="AA153" s="472"/>
      <c r="AB153" s="472"/>
      <c r="AC153" s="472"/>
      <c r="AD153" s="472"/>
      <c r="AE153" s="472"/>
      <c r="AF153" s="472"/>
      <c r="AG153" s="472"/>
      <c r="AH153" s="472"/>
      <c r="AI153" s="472"/>
      <c r="AJ153" s="472"/>
      <c r="AK153" s="472"/>
      <c r="AL153" s="472"/>
      <c r="AM153" s="471"/>
      <c r="AN153" s="472"/>
      <c r="AO153" s="472"/>
      <c r="AP153" s="472"/>
      <c r="AQ153" s="472"/>
      <c r="AR153" s="472"/>
      <c r="AS153" s="1290"/>
      <c r="AT153" s="173"/>
      <c r="AU153" s="173"/>
      <c r="AV153" s="173"/>
      <c r="AW153" s="173"/>
      <c r="AX153" s="173"/>
      <c r="AY153" s="173"/>
      <c r="AZ153" s="173"/>
      <c r="BB153" s="470">
        <f t="shared" ref="BB153:BB166" si="57">SUM(E153:AZ153)</f>
        <v>7528.1196549577071</v>
      </c>
      <c r="BC153" s="476">
        <f t="shared" ref="BC153:BC166" si="58">+BB153+BC92</f>
        <v>7876060.1918395003</v>
      </c>
      <c r="BD153" s="444"/>
      <c r="BE153" s="173"/>
      <c r="BF153" s="336"/>
    </row>
    <row r="154" spans="1:58" outlineLevel="1" x14ac:dyDescent="0.35">
      <c r="A154" s="336">
        <f t="shared" si="51"/>
        <v>18</v>
      </c>
      <c r="B154" s="464" t="s">
        <v>60</v>
      </c>
      <c r="C154" s="465" t="s">
        <v>925</v>
      </c>
      <c r="D154" s="470">
        <f t="shared" si="56"/>
        <v>0</v>
      </c>
      <c r="E154" s="1290"/>
      <c r="F154" s="472"/>
      <c r="G154" s="472"/>
      <c r="H154" s="472"/>
      <c r="I154" s="472"/>
      <c r="J154" s="472"/>
      <c r="K154" s="472"/>
      <c r="L154" s="472"/>
      <c r="M154" s="472"/>
      <c r="N154" s="472"/>
      <c r="O154" s="472">
        <f>+'Common Adj'!GG20</f>
        <v>0</v>
      </c>
      <c r="P154" s="472"/>
      <c r="Q154" s="472"/>
      <c r="R154" s="472"/>
      <c r="S154" s="472"/>
      <c r="T154" s="472"/>
      <c r="U154" s="472"/>
      <c r="V154" s="472"/>
      <c r="W154" s="472"/>
      <c r="X154" s="472"/>
      <c r="Y154" s="472"/>
      <c r="Z154" s="472"/>
      <c r="AA154" s="472"/>
      <c r="AB154" s="472"/>
      <c r="AC154" s="472"/>
      <c r="AD154" s="472"/>
      <c r="AE154" s="472"/>
      <c r="AF154" s="472"/>
      <c r="AG154" s="472"/>
      <c r="AH154" s="472"/>
      <c r="AI154" s="472"/>
      <c r="AJ154" s="472"/>
      <c r="AK154" s="472"/>
      <c r="AL154" s="472"/>
      <c r="AM154" s="471"/>
      <c r="AN154" s="472"/>
      <c r="AO154" s="472"/>
      <c r="AP154" s="472"/>
      <c r="AQ154" s="472"/>
      <c r="AR154" s="472"/>
      <c r="AS154" s="1290"/>
      <c r="AT154" s="472"/>
      <c r="AU154" s="472"/>
      <c r="AV154" s="472"/>
      <c r="AW154" s="472"/>
      <c r="AX154" s="472"/>
      <c r="AY154" s="472"/>
      <c r="AZ154" s="472"/>
      <c r="BB154" s="470">
        <f t="shared" si="57"/>
        <v>0</v>
      </c>
      <c r="BC154" s="470">
        <f t="shared" si="58"/>
        <v>0</v>
      </c>
      <c r="BD154" s="444"/>
      <c r="BE154" s="173"/>
      <c r="BF154" s="336"/>
    </row>
    <row r="155" spans="1:58" outlineLevel="1" x14ac:dyDescent="0.35">
      <c r="A155" s="336">
        <f t="shared" si="51"/>
        <v>19</v>
      </c>
      <c r="B155" s="464" t="s">
        <v>61</v>
      </c>
      <c r="C155" s="465" t="s">
        <v>925</v>
      </c>
      <c r="D155" s="470">
        <f t="shared" si="56"/>
        <v>64446443.13880299</v>
      </c>
      <c r="E155" s="1290"/>
      <c r="F155" s="472"/>
      <c r="G155" s="472"/>
      <c r="H155" s="472"/>
      <c r="I155" s="472"/>
      <c r="J155" s="472"/>
      <c r="K155" s="472"/>
      <c r="L155" s="472"/>
      <c r="M155" s="472"/>
      <c r="N155" s="472"/>
      <c r="O155" s="472">
        <f>+'Common Adj'!GG21</f>
        <v>44973.15213659755</v>
      </c>
      <c r="P155" s="472"/>
      <c r="Q155" s="472"/>
      <c r="R155" s="472"/>
      <c r="S155" s="472"/>
      <c r="T155" s="472"/>
      <c r="U155" s="472"/>
      <c r="V155" s="472"/>
      <c r="W155" s="472"/>
      <c r="X155" s="472"/>
      <c r="Y155" s="472"/>
      <c r="Z155" s="472"/>
      <c r="AA155" s="472"/>
      <c r="AB155" s="472"/>
      <c r="AC155" s="472"/>
      <c r="AD155" s="472"/>
      <c r="AE155" s="472"/>
      <c r="AF155" s="472"/>
      <c r="AG155" s="472"/>
      <c r="AH155" s="472"/>
      <c r="AI155" s="472"/>
      <c r="AJ155" s="472"/>
      <c r="AK155" s="472"/>
      <c r="AL155" s="472"/>
      <c r="AM155" s="471"/>
      <c r="AN155" s="472"/>
      <c r="AO155" s="472"/>
      <c r="AP155" s="472"/>
      <c r="AQ155" s="472"/>
      <c r="AR155" s="472"/>
      <c r="AS155" s="1290"/>
      <c r="AT155" s="472"/>
      <c r="AU155" s="472"/>
      <c r="AV155" s="472"/>
      <c r="AW155" s="472"/>
      <c r="AX155" s="472"/>
      <c r="AY155" s="472"/>
      <c r="AZ155" s="472"/>
      <c r="BB155" s="470">
        <f t="shared" si="57"/>
        <v>44973.15213659755</v>
      </c>
      <c r="BC155" s="470">
        <f t="shared" si="58"/>
        <v>64491416.290939584</v>
      </c>
      <c r="BD155" s="444"/>
      <c r="BE155" s="173"/>
      <c r="BF155" s="336"/>
    </row>
    <row r="156" spans="1:58" outlineLevel="1" x14ac:dyDescent="0.35">
      <c r="A156" s="336">
        <f t="shared" si="51"/>
        <v>20</v>
      </c>
      <c r="B156" s="464" t="s">
        <v>62</v>
      </c>
      <c r="C156" s="465" t="s">
        <v>925</v>
      </c>
      <c r="D156" s="470">
        <f t="shared" si="56"/>
        <v>23491920.917662185</v>
      </c>
      <c r="E156" s="1290">
        <f>'Common Adj'!I64</f>
        <v>584.03692899999999</v>
      </c>
      <c r="F156" s="472"/>
      <c r="G156" s="472"/>
      <c r="H156" s="472"/>
      <c r="I156" s="472"/>
      <c r="J156" s="472"/>
      <c r="K156" s="472"/>
      <c r="L156" s="472"/>
      <c r="M156" s="472"/>
      <c r="N156" s="472"/>
      <c r="O156" s="472">
        <f>+'Common Adj'!GG22</f>
        <v>10051.621943489474</v>
      </c>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2"/>
      <c r="AL156" s="472"/>
      <c r="AM156" s="471"/>
      <c r="AN156" s="472"/>
      <c r="AO156" s="472"/>
      <c r="AP156" s="472"/>
      <c r="AQ156" s="472"/>
      <c r="AR156" s="472"/>
      <c r="AS156" s="1290"/>
      <c r="AT156" s="472"/>
      <c r="AU156" s="472"/>
      <c r="AV156" s="472"/>
      <c r="AW156" s="472"/>
      <c r="AX156" s="472"/>
      <c r="AY156" s="472"/>
      <c r="AZ156" s="472"/>
      <c r="BB156" s="470">
        <f t="shared" si="57"/>
        <v>10635.658872489474</v>
      </c>
      <c r="BC156" s="470">
        <f t="shared" si="58"/>
        <v>23502556.576534674</v>
      </c>
      <c r="BD156" s="444"/>
      <c r="BE156" s="173"/>
      <c r="BF156" s="336"/>
    </row>
    <row r="157" spans="1:58" outlineLevel="1" x14ac:dyDescent="0.35">
      <c r="A157" s="336">
        <f t="shared" si="51"/>
        <v>21</v>
      </c>
      <c r="B157" s="464" t="s">
        <v>63</v>
      </c>
      <c r="C157" s="465" t="s">
        <v>925</v>
      </c>
      <c r="D157" s="470">
        <f t="shared" si="56"/>
        <v>2400079.1042956277</v>
      </c>
      <c r="E157" s="1290"/>
      <c r="F157" s="472"/>
      <c r="G157" s="472"/>
      <c r="H157" s="472"/>
      <c r="I157" s="472"/>
      <c r="J157" s="472"/>
      <c r="K157" s="472"/>
      <c r="L157" s="472"/>
      <c r="M157" s="472"/>
      <c r="N157" s="472"/>
      <c r="O157" s="472">
        <f>+'Common Adj'!GG23+'Common Adj'!GG24</f>
        <v>1733.1554567787998</v>
      </c>
      <c r="P157" s="472"/>
      <c r="Q157" s="472"/>
      <c r="R157" s="472"/>
      <c r="S157" s="472"/>
      <c r="T157" s="472"/>
      <c r="U157" s="472"/>
      <c r="V157" s="472"/>
      <c r="W157" s="472"/>
      <c r="X157" s="472"/>
      <c r="Y157" s="472"/>
      <c r="Z157" s="472"/>
      <c r="AA157" s="472"/>
      <c r="AB157" s="472"/>
      <c r="AC157" s="472"/>
      <c r="AD157" s="472"/>
      <c r="AE157" s="472"/>
      <c r="AF157" s="472"/>
      <c r="AG157" s="472"/>
      <c r="AH157" s="472"/>
      <c r="AI157" s="472"/>
      <c r="AJ157" s="472"/>
      <c r="AK157" s="472"/>
      <c r="AL157" s="472"/>
      <c r="AM157" s="471"/>
      <c r="AN157" s="472"/>
      <c r="AO157" s="472"/>
      <c r="AP157" s="472"/>
      <c r="AQ157" s="472"/>
      <c r="AR157" s="472"/>
      <c r="AS157" s="1290"/>
      <c r="AT157" s="472"/>
      <c r="AU157" s="472"/>
      <c r="AV157" s="472"/>
      <c r="AW157" s="472"/>
      <c r="AX157" s="472"/>
      <c r="AY157" s="472"/>
      <c r="AZ157" s="472"/>
      <c r="BB157" s="470">
        <f t="shared" si="57"/>
        <v>1733.1554567787998</v>
      </c>
      <c r="BC157" s="470">
        <f t="shared" si="58"/>
        <v>2401812.2597524063</v>
      </c>
      <c r="BD157" s="444"/>
      <c r="BE157" s="173"/>
      <c r="BF157" s="336"/>
    </row>
    <row r="158" spans="1:58" outlineLevel="1" x14ac:dyDescent="0.35">
      <c r="A158" s="336">
        <f t="shared" si="51"/>
        <v>22</v>
      </c>
      <c r="B158" s="464" t="s">
        <v>64</v>
      </c>
      <c r="C158" s="465" t="s">
        <v>925</v>
      </c>
      <c r="D158" s="470">
        <f t="shared" si="56"/>
        <v>0</v>
      </c>
      <c r="E158" s="1290"/>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72"/>
      <c r="AM158" s="471"/>
      <c r="AN158" s="472"/>
      <c r="AO158" s="472"/>
      <c r="AP158" s="472"/>
      <c r="AQ158" s="472"/>
      <c r="AR158" s="472"/>
      <c r="AS158" s="1290"/>
      <c r="AT158" s="472"/>
      <c r="AU158" s="472"/>
      <c r="AV158" s="472"/>
      <c r="AW158" s="472"/>
      <c r="AX158" s="472"/>
      <c r="AY158" s="472"/>
      <c r="AZ158" s="472"/>
      <c r="BB158" s="470">
        <f t="shared" si="57"/>
        <v>0</v>
      </c>
      <c r="BC158" s="470">
        <f t="shared" si="58"/>
        <v>0</v>
      </c>
      <c r="BD158" s="444"/>
      <c r="BE158" s="173"/>
      <c r="BF158" s="336"/>
    </row>
    <row r="159" spans="1:58" outlineLevel="1" x14ac:dyDescent="0.35">
      <c r="A159" s="336">
        <f t="shared" si="51"/>
        <v>23</v>
      </c>
      <c r="B159" s="464" t="s">
        <v>65</v>
      </c>
      <c r="C159" s="465" t="s">
        <v>925</v>
      </c>
      <c r="D159" s="470">
        <f t="shared" si="56"/>
        <v>73956671.937715605</v>
      </c>
      <c r="E159" s="1290">
        <f>'Common Adj'!I65</f>
        <v>808.07600000000002</v>
      </c>
      <c r="F159" s="472"/>
      <c r="G159" s="472"/>
      <c r="H159" s="472"/>
      <c r="I159" s="472"/>
      <c r="J159" s="472"/>
      <c r="K159" s="472"/>
      <c r="L159" s="472"/>
      <c r="M159" s="472"/>
      <c r="N159" s="472"/>
      <c r="O159" s="472">
        <f>+'Common Adj'!GG25</f>
        <v>30118.048431473668</v>
      </c>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472"/>
      <c r="AK159" s="472"/>
      <c r="AL159" s="472"/>
      <c r="AM159" s="471"/>
      <c r="AN159" s="472"/>
      <c r="AO159" s="472"/>
      <c r="AP159" s="472"/>
      <c r="AQ159" s="472"/>
      <c r="AR159" s="472"/>
      <c r="AS159" s="1290"/>
      <c r="AT159" s="472"/>
      <c r="AU159" s="511"/>
      <c r="AV159" s="472"/>
      <c r="AW159" s="472"/>
      <c r="AX159" s="472"/>
      <c r="AY159" s="472"/>
      <c r="AZ159" s="472"/>
      <c r="BB159" s="470">
        <f t="shared" si="57"/>
        <v>30926.124431473669</v>
      </c>
      <c r="BC159" s="470">
        <f t="shared" si="58"/>
        <v>73987598.062147081</v>
      </c>
      <c r="BD159" s="444"/>
      <c r="BE159" s="173"/>
      <c r="BF159" s="336"/>
    </row>
    <row r="160" spans="1:58" outlineLevel="1" x14ac:dyDescent="0.35">
      <c r="A160" s="336">
        <f t="shared" si="51"/>
        <v>24</v>
      </c>
      <c r="B160" s="464" t="s">
        <v>66</v>
      </c>
      <c r="C160" s="465" t="s">
        <v>925</v>
      </c>
      <c r="D160" s="470">
        <f t="shared" si="56"/>
        <v>168798371.72929665</v>
      </c>
      <c r="E160" s="1290"/>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f>'Common Adj'!RJ17+'Common Adj'!RJ18</f>
        <v>284689.21257165074</v>
      </c>
      <c r="AF160" s="472">
        <f>'Common Adj'!SB16+'Common Adj'!SB17</f>
        <v>-254648.25999999995</v>
      </c>
      <c r="AG160" s="472">
        <f>'Common Adj'!$ST$16+'Common Adj'!$ST$17</f>
        <v>4488505.0870949998</v>
      </c>
      <c r="AH160" s="472">
        <f>'Common Adj'!$ST$34+'Common Adj'!$ST$35</f>
        <v>2788911.22</v>
      </c>
      <c r="AI160" s="472">
        <f>'Common Adj'!$ST$52+'Common Adj'!$ST$53</f>
        <v>15198.15</v>
      </c>
      <c r="AJ160" s="472">
        <f>'Common Adj'!$ST$70+'Common Adj'!$ST$71</f>
        <v>1332275.6806800002</v>
      </c>
      <c r="AK160" s="472"/>
      <c r="AL160" s="472"/>
      <c r="AM160" s="471"/>
      <c r="AN160" s="472"/>
      <c r="AO160" s="472"/>
      <c r="AP160" s="472"/>
      <c r="AQ160" s="472"/>
      <c r="AR160" s="472">
        <f>'Gas Adj'!CU25</f>
        <v>-687308.34716399759</v>
      </c>
      <c r="AS160" s="1290">
        <f>'Gas Adj'!DD25</f>
        <v>0</v>
      </c>
      <c r="AT160" s="173"/>
      <c r="AW160" s="356"/>
      <c r="AX160" s="341"/>
      <c r="BB160" s="470">
        <f t="shared" si="57"/>
        <v>7967622.7431826554</v>
      </c>
      <c r="BC160" s="470">
        <f t="shared" si="58"/>
        <v>176765994.47247931</v>
      </c>
      <c r="BD160" s="444"/>
      <c r="BE160" s="173"/>
      <c r="BF160" s="336"/>
    </row>
    <row r="161" spans="1:58" outlineLevel="1" x14ac:dyDescent="0.35">
      <c r="A161" s="336">
        <f t="shared" si="51"/>
        <v>25</v>
      </c>
      <c r="B161" s="464" t="s">
        <v>67</v>
      </c>
      <c r="C161" s="465" t="s">
        <v>925</v>
      </c>
      <c r="D161" s="470">
        <f t="shared" si="56"/>
        <v>25292226.692707248</v>
      </c>
      <c r="E161" s="1290"/>
      <c r="F161" s="472"/>
      <c r="G161" s="472"/>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f>'Common Adj'!RJ19+'Common Adj'!RJ20</f>
        <v>-2253078.2972623855</v>
      </c>
      <c r="AF161" s="472">
        <f>'Common Adj'!SB18+'Common Adj'!SB19</f>
        <v>0</v>
      </c>
      <c r="AG161" s="472">
        <f>'Common Adj'!$ST$18+'Common Adj'!$ST$19</f>
        <v>2503718.8050599997</v>
      </c>
      <c r="AH161" s="472">
        <f>'Common Adj'!$ST$36+'Common Adj'!$ST$37</f>
        <v>0</v>
      </c>
      <c r="AI161" s="472">
        <f>'Common Adj'!$ST$54+'Common Adj'!$ST$55</f>
        <v>0</v>
      </c>
      <c r="AJ161" s="472">
        <f>'Common Adj'!$ST$72+'Common Adj'!$ST$73</f>
        <v>4767016.7120850002</v>
      </c>
      <c r="AK161" s="472"/>
      <c r="AL161" s="472"/>
      <c r="AM161" s="471"/>
      <c r="AN161" s="472"/>
      <c r="AO161" s="472"/>
      <c r="AP161" s="472"/>
      <c r="AQ161" s="472"/>
      <c r="AR161" s="472">
        <f>'Gas Adj'!CU26</f>
        <v>-149248.62200000003</v>
      </c>
      <c r="AS161" s="1290">
        <f>'Gas Adj'!DD26</f>
        <v>0</v>
      </c>
      <c r="AT161" s="472"/>
      <c r="AU161" s="472"/>
      <c r="AV161" s="472"/>
      <c r="AW161" s="471"/>
      <c r="AX161" s="471"/>
      <c r="AY161" s="472"/>
      <c r="AZ161" s="472"/>
      <c r="BB161" s="470">
        <f t="shared" si="57"/>
        <v>4868408.5978826145</v>
      </c>
      <c r="BC161" s="470">
        <f t="shared" si="58"/>
        <v>30160635.290589862</v>
      </c>
      <c r="BD161" s="444"/>
      <c r="BE161" s="173"/>
      <c r="BF161" s="336"/>
    </row>
    <row r="162" spans="1:58" outlineLevel="1" x14ac:dyDescent="0.35">
      <c r="A162" s="336">
        <f t="shared" si="51"/>
        <v>26</v>
      </c>
      <c r="B162" s="480" t="s">
        <v>68</v>
      </c>
      <c r="C162" s="465" t="s">
        <v>925</v>
      </c>
      <c r="D162" s="470">
        <f t="shared" si="56"/>
        <v>0</v>
      </c>
      <c r="E162" s="1290"/>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1"/>
      <c r="AN162" s="472"/>
      <c r="AO162" s="472"/>
      <c r="AP162" s="472"/>
      <c r="AQ162" s="472"/>
      <c r="AR162" s="472"/>
      <c r="AS162" s="1290"/>
      <c r="AT162" s="472"/>
      <c r="AU162" s="472"/>
      <c r="AV162" s="472"/>
      <c r="AW162" s="471"/>
      <c r="AX162" s="471"/>
      <c r="AY162" s="472"/>
      <c r="AZ162" s="472"/>
      <c r="BB162" s="470">
        <f t="shared" si="57"/>
        <v>0</v>
      </c>
      <c r="BC162" s="470">
        <f t="shared" si="58"/>
        <v>0</v>
      </c>
      <c r="BD162" s="444"/>
      <c r="BE162" s="173"/>
      <c r="BF162" s="336"/>
    </row>
    <row r="163" spans="1:58" outlineLevel="1" x14ac:dyDescent="0.35">
      <c r="A163" s="336">
        <f t="shared" si="51"/>
        <v>27</v>
      </c>
      <c r="B163" s="464" t="s">
        <v>69</v>
      </c>
      <c r="C163" s="465" t="s">
        <v>925</v>
      </c>
      <c r="D163" s="470">
        <f t="shared" si="56"/>
        <v>18008170.846447498</v>
      </c>
      <c r="E163" s="1290"/>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f>'Common Adj'!PY17</f>
        <v>10589.591500000097</v>
      </c>
      <c r="AD163" s="472"/>
      <c r="AE163" s="472"/>
      <c r="AF163" s="472"/>
      <c r="AG163" s="472"/>
      <c r="AH163" s="472"/>
      <c r="AI163" s="472"/>
      <c r="AJ163" s="472"/>
      <c r="AK163" s="472"/>
      <c r="AL163" s="472">
        <f>'Common Adj'!UY24</f>
        <v>0</v>
      </c>
      <c r="AM163" s="471"/>
      <c r="AN163" s="472"/>
      <c r="AO163" s="472"/>
      <c r="AP163" s="472"/>
      <c r="AQ163" s="472">
        <f>'Gas Adj'!CC44-'Gas Adj'!CC33-'Gas Adj'!CC36</f>
        <v>-2567889.2523350799</v>
      </c>
      <c r="AR163" s="472"/>
      <c r="AS163" s="1290"/>
      <c r="AT163" s="472"/>
      <c r="AU163" s="472"/>
      <c r="AV163" s="472"/>
      <c r="AW163" s="471"/>
      <c r="AX163" s="471"/>
      <c r="AY163" s="472"/>
      <c r="AZ163" s="472"/>
      <c r="BB163" s="470">
        <f t="shared" si="57"/>
        <v>-2557299.6608350798</v>
      </c>
      <c r="BC163" s="470">
        <f t="shared" si="58"/>
        <v>15450871.185612418</v>
      </c>
      <c r="BD163" s="444"/>
      <c r="BE163" s="173"/>
      <c r="BF163" s="336"/>
    </row>
    <row r="164" spans="1:58" outlineLevel="1" x14ac:dyDescent="0.35">
      <c r="A164" s="336">
        <f t="shared" si="51"/>
        <v>28</v>
      </c>
      <c r="B164" s="464" t="s">
        <v>70</v>
      </c>
      <c r="C164" s="465" t="s">
        <v>925</v>
      </c>
      <c r="D164" s="470">
        <f t="shared" si="56"/>
        <v>26287021.270977296</v>
      </c>
      <c r="E164" s="1290">
        <f>'Common Adj'!I66</f>
        <v>7759.3477709999997</v>
      </c>
      <c r="F164" s="472"/>
      <c r="G164" s="472"/>
      <c r="H164" s="472"/>
      <c r="I164" s="472"/>
      <c r="J164" s="472"/>
      <c r="K164" s="472"/>
      <c r="L164" s="472"/>
      <c r="M164" s="472"/>
      <c r="N164" s="472"/>
      <c r="O164" s="472">
        <f>+'Common Adj'!GG28</f>
        <v>8298.1201810878229</v>
      </c>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1"/>
      <c r="AN164" s="472"/>
      <c r="AO164" s="472"/>
      <c r="AP164" s="472"/>
      <c r="AQ164" s="472"/>
      <c r="AR164" s="472"/>
      <c r="AS164" s="1290"/>
      <c r="AT164" s="472"/>
      <c r="AU164" s="472"/>
      <c r="AV164" s="472"/>
      <c r="AW164" s="471"/>
      <c r="AX164" s="471"/>
      <c r="AY164" s="472"/>
      <c r="AZ164" s="472"/>
      <c r="BB164" s="470">
        <f t="shared" si="57"/>
        <v>16057.467952087824</v>
      </c>
      <c r="BC164" s="470">
        <f t="shared" si="58"/>
        <v>26303078.738929383</v>
      </c>
      <c r="BD164" s="444"/>
      <c r="BE164" s="173"/>
      <c r="BF164" s="336"/>
    </row>
    <row r="165" spans="1:58" outlineLevel="1" x14ac:dyDescent="0.35">
      <c r="A165" s="336">
        <f t="shared" si="51"/>
        <v>29</v>
      </c>
      <c r="B165" s="464" t="s">
        <v>71</v>
      </c>
      <c r="C165" s="465" t="s">
        <v>925</v>
      </c>
      <c r="D165" s="470">
        <f t="shared" si="56"/>
        <v>15625651.095503658</v>
      </c>
      <c r="E165" s="1290">
        <f>'Common Adj'!I70</f>
        <v>40502.183253000003</v>
      </c>
      <c r="F165" s="472"/>
      <c r="G165" s="472"/>
      <c r="H165" s="472"/>
      <c r="I165" s="472">
        <f>'Common Adj'!CC23</f>
        <v>-543136.50103020924</v>
      </c>
      <c r="J165" s="472"/>
      <c r="K165" s="472"/>
      <c r="L165" s="472"/>
      <c r="M165" s="472"/>
      <c r="N165" s="472"/>
      <c r="O165" s="472">
        <f>+'Common Adj'!GG31</f>
        <v>-21567.465738920851</v>
      </c>
      <c r="P165" s="472"/>
      <c r="Q165" s="472"/>
      <c r="R165" s="472"/>
      <c r="S165" s="472"/>
      <c r="T165" s="472"/>
      <c r="U165" s="472"/>
      <c r="V165" s="472"/>
      <c r="W165" s="472"/>
      <c r="X165" s="472"/>
      <c r="Y165" s="472"/>
      <c r="Z165" s="472"/>
      <c r="AA165" s="472"/>
      <c r="AB165" s="472"/>
      <c r="AC165" s="472">
        <f>'Common Adj'!PY20</f>
        <v>-2223.8142150000203</v>
      </c>
      <c r="AD165" s="472"/>
      <c r="AE165" s="472">
        <f>'Common Adj'!RJ29</f>
        <v>413361.70778505428</v>
      </c>
      <c r="AF165" s="472">
        <f>'Common Adj'!SB28</f>
        <v>53476.13459999999</v>
      </c>
      <c r="AG165" s="472">
        <f>'Common Adj'!$ST$24</f>
        <v>-1468367.0173525501</v>
      </c>
      <c r="AH165" s="472">
        <f>'Common Adj'!$ST$42</f>
        <v>-585671.35620000004</v>
      </c>
      <c r="AI165" s="472">
        <f>'Common Adj'!$ST$60</f>
        <v>-3191.6115</v>
      </c>
      <c r="AJ165" s="472">
        <f>'Common Adj'!$ST$78</f>
        <v>-1280851.40248065</v>
      </c>
      <c r="AK165" s="472"/>
      <c r="AL165" s="472">
        <f>'Common Adj'!UY26</f>
        <v>0</v>
      </c>
      <c r="AM165" s="471"/>
      <c r="AN165" s="472"/>
      <c r="AO165" s="472"/>
      <c r="AP165" s="472"/>
      <c r="AQ165" s="472">
        <f>'Gas Adj'!CC46</f>
        <v>530200.96671911981</v>
      </c>
      <c r="AR165" s="472">
        <f>'Gas Adj'!CU29</f>
        <v>175676.96352443949</v>
      </c>
      <c r="AS165" s="1290">
        <f>'Gas Adj'!DD29</f>
        <v>0</v>
      </c>
      <c r="AT165" s="481"/>
      <c r="AU165" s="472"/>
      <c r="AV165" s="472"/>
      <c r="AW165" s="471"/>
      <c r="AX165" s="471"/>
      <c r="AY165" s="472"/>
      <c r="AZ165" s="472"/>
      <c r="BB165" s="470">
        <f t="shared" si="57"/>
        <v>-2691791.2126357174</v>
      </c>
      <c r="BC165" s="470">
        <f t="shared" si="58"/>
        <v>12933859.88286794</v>
      </c>
      <c r="BD165" s="444"/>
      <c r="BE165" s="173"/>
      <c r="BF165" s="336"/>
    </row>
    <row r="166" spans="1:58" outlineLevel="1" x14ac:dyDescent="0.35">
      <c r="A166" s="336">
        <f t="shared" si="51"/>
        <v>30</v>
      </c>
      <c r="B166" s="329" t="s">
        <v>72</v>
      </c>
      <c r="C166" s="465" t="s">
        <v>925</v>
      </c>
      <c r="D166" s="470">
        <f t="shared" si="56"/>
        <v>-7286821.3381584706</v>
      </c>
      <c r="E166" s="1290"/>
      <c r="F166" s="472"/>
      <c r="G166" s="472"/>
      <c r="H166" s="472">
        <f>SUM('Common Adj'!BK17:BK19)</f>
        <v>348814.75209316192</v>
      </c>
      <c r="I166" s="472"/>
      <c r="J166" s="472"/>
      <c r="K166" s="472"/>
      <c r="L166" s="472"/>
      <c r="M166" s="472"/>
      <c r="N166" s="472"/>
      <c r="O166" s="472"/>
      <c r="P166" s="472"/>
      <c r="Q166" s="472"/>
      <c r="R166" s="472"/>
      <c r="S166" s="472"/>
      <c r="T166" s="472"/>
      <c r="U166" s="472"/>
      <c r="V166" s="472"/>
      <c r="W166" s="472"/>
      <c r="X166" s="472"/>
      <c r="Y166" s="472"/>
      <c r="Z166" s="472"/>
      <c r="AA166" s="472"/>
      <c r="AB166" s="472"/>
      <c r="AC166" s="472"/>
      <c r="AD166" s="472"/>
      <c r="AE166" s="472"/>
      <c r="AF166" s="472"/>
      <c r="AG166" s="472"/>
      <c r="AH166" s="472"/>
      <c r="AI166" s="472"/>
      <c r="AJ166" s="472"/>
      <c r="AK166" s="472"/>
      <c r="AL166" s="472"/>
      <c r="AM166" s="471"/>
      <c r="AN166" s="472"/>
      <c r="AO166" s="472"/>
      <c r="AP166" s="472"/>
      <c r="AQ166" s="472"/>
      <c r="AR166" s="472"/>
      <c r="AS166" s="1290"/>
      <c r="AT166" s="472"/>
      <c r="AU166" s="472"/>
      <c r="AV166" s="472"/>
      <c r="AW166" s="471"/>
      <c r="AX166" s="471"/>
      <c r="AY166" s="472"/>
      <c r="AZ166" s="472"/>
      <c r="BB166" s="470">
        <f t="shared" si="57"/>
        <v>348814.75209316192</v>
      </c>
      <c r="BC166" s="470">
        <f t="shared" si="58"/>
        <v>-6938006.5860653091</v>
      </c>
      <c r="BD166" s="444"/>
      <c r="BE166" s="173"/>
      <c r="BF166" s="336"/>
    </row>
    <row r="167" spans="1:58" outlineLevel="1" x14ac:dyDescent="0.35">
      <c r="A167" s="336">
        <f t="shared" si="51"/>
        <v>31</v>
      </c>
      <c r="B167" s="464" t="s">
        <v>2</v>
      </c>
      <c r="C167" s="465" t="s">
        <v>925</v>
      </c>
      <c r="D167" s="477">
        <f>SUM(D151:D166)</f>
        <v>418888267.46743488</v>
      </c>
      <c r="E167" s="1293">
        <f t="shared" ref="E167:AS167" si="59">SUM(E151:E166)</f>
        <v>49653.643953000006</v>
      </c>
      <c r="F167" s="479">
        <f t="shared" si="59"/>
        <v>0</v>
      </c>
      <c r="G167" s="479">
        <f t="shared" si="59"/>
        <v>0</v>
      </c>
      <c r="H167" s="479">
        <f t="shared" si="59"/>
        <v>348814.75209316192</v>
      </c>
      <c r="I167" s="479">
        <f t="shared" si="59"/>
        <v>-543136.50103020924</v>
      </c>
      <c r="J167" s="479">
        <f t="shared" si="59"/>
        <v>0</v>
      </c>
      <c r="K167" s="479">
        <f t="shared" si="59"/>
        <v>0</v>
      </c>
      <c r="L167" s="479">
        <f t="shared" si="59"/>
        <v>0</v>
      </c>
      <c r="M167" s="479">
        <f t="shared" si="59"/>
        <v>0</v>
      </c>
      <c r="N167" s="479">
        <f t="shared" si="59"/>
        <v>0</v>
      </c>
      <c r="O167" s="479">
        <f t="shared" si="59"/>
        <v>81134.752065464156</v>
      </c>
      <c r="P167" s="479">
        <f t="shared" si="59"/>
        <v>0</v>
      </c>
      <c r="Q167" s="479">
        <f t="shared" si="59"/>
        <v>0</v>
      </c>
      <c r="R167" s="479">
        <f t="shared" si="59"/>
        <v>0</v>
      </c>
      <c r="S167" s="479">
        <f t="shared" si="59"/>
        <v>0</v>
      </c>
      <c r="T167" s="479">
        <f t="shared" si="59"/>
        <v>0</v>
      </c>
      <c r="U167" s="479">
        <f t="shared" si="59"/>
        <v>0</v>
      </c>
      <c r="V167" s="479">
        <f t="shared" si="59"/>
        <v>0</v>
      </c>
      <c r="W167" s="479">
        <f t="shared" si="59"/>
        <v>0</v>
      </c>
      <c r="X167" s="479">
        <f t="shared" si="59"/>
        <v>0</v>
      </c>
      <c r="Y167" s="479">
        <f t="shared" si="59"/>
        <v>0</v>
      </c>
      <c r="Z167" s="479">
        <f t="shared" si="59"/>
        <v>0</v>
      </c>
      <c r="AA167" s="479">
        <f t="shared" si="59"/>
        <v>0</v>
      </c>
      <c r="AB167" s="479">
        <f t="shared" si="59"/>
        <v>0</v>
      </c>
      <c r="AC167" s="479">
        <f t="shared" si="59"/>
        <v>8365.7772850000765</v>
      </c>
      <c r="AD167" s="479">
        <f t="shared" si="59"/>
        <v>0</v>
      </c>
      <c r="AE167" s="478">
        <f>SUM(AE151:AE166)</f>
        <v>-1555027.3769056804</v>
      </c>
      <c r="AF167" s="478">
        <f>SUM(AF151:AF166)</f>
        <v>-201172.12539999996</v>
      </c>
      <c r="AG167" s="479">
        <f>SUM(AG151:AG166)</f>
        <v>5523856.8748024488</v>
      </c>
      <c r="AH167" s="479">
        <f t="shared" ref="AH167:AO167" si="60">SUM(AH151:AH166)</f>
        <v>2203239.8638000004</v>
      </c>
      <c r="AI167" s="479">
        <f t="shared" si="60"/>
        <v>12006.538499999999</v>
      </c>
      <c r="AJ167" s="479">
        <f t="shared" si="60"/>
        <v>4818440.9902843507</v>
      </c>
      <c r="AK167" s="479">
        <f t="shared" si="60"/>
        <v>0</v>
      </c>
      <c r="AL167" s="479">
        <f t="shared" si="60"/>
        <v>0</v>
      </c>
      <c r="AM167" s="479">
        <f t="shared" si="60"/>
        <v>0</v>
      </c>
      <c r="AN167" s="479">
        <f t="shared" si="60"/>
        <v>0</v>
      </c>
      <c r="AO167" s="479">
        <f t="shared" si="60"/>
        <v>0</v>
      </c>
      <c r="AP167" s="479">
        <f t="shared" si="59"/>
        <v>0</v>
      </c>
      <c r="AQ167" s="479">
        <f t="shared" si="59"/>
        <v>-2037688.2856159601</v>
      </c>
      <c r="AR167" s="479">
        <f t="shared" si="59"/>
        <v>-660880.00563955808</v>
      </c>
      <c r="AS167" s="1293">
        <f t="shared" si="59"/>
        <v>0</v>
      </c>
      <c r="AT167" s="479"/>
      <c r="AU167" s="479"/>
      <c r="AV167" s="479"/>
      <c r="AW167" s="478"/>
      <c r="AX167" s="478"/>
      <c r="AY167" s="479"/>
      <c r="AZ167" s="479"/>
      <c r="BB167" s="477">
        <f>SUM(BB151:BB166)</f>
        <v>8047608.8981920183</v>
      </c>
      <c r="BC167" s="477">
        <f>SUM(BC151:BC166)</f>
        <v>426935876.36562687</v>
      </c>
      <c r="BD167" s="444"/>
      <c r="BE167" s="173"/>
      <c r="BF167" s="336"/>
    </row>
    <row r="168" spans="1:58" outlineLevel="1" x14ac:dyDescent="0.35">
      <c r="A168" s="336">
        <f t="shared" si="51"/>
        <v>32</v>
      </c>
      <c r="C168" s="465" t="s">
        <v>925</v>
      </c>
      <c r="D168" s="482"/>
      <c r="E168" s="1294"/>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c r="AE168" s="363"/>
      <c r="AF168" s="363"/>
      <c r="AG168" s="483"/>
      <c r="AH168" s="483"/>
      <c r="AI168" s="483"/>
      <c r="AJ168" s="483"/>
      <c r="AK168" s="483"/>
      <c r="AL168" s="483"/>
      <c r="AM168" s="483"/>
      <c r="AN168" s="483"/>
      <c r="AO168" s="483"/>
      <c r="AP168" s="483"/>
      <c r="AQ168" s="483"/>
      <c r="AR168" s="483"/>
      <c r="AS168" s="1294"/>
      <c r="AT168" s="483"/>
      <c r="AU168" s="483"/>
      <c r="AV168" s="483"/>
      <c r="AW168" s="363"/>
      <c r="AX168" s="363"/>
      <c r="AY168" s="483"/>
      <c r="AZ168" s="483"/>
      <c r="BB168" s="482"/>
      <c r="BC168" s="482"/>
      <c r="BD168" s="444"/>
      <c r="BE168" s="173"/>
      <c r="BF168" s="336"/>
    </row>
    <row r="169" spans="1:58" ht="15" outlineLevel="1" thickBot="1" x14ac:dyDescent="0.4">
      <c r="A169" s="336">
        <f t="shared" si="51"/>
        <v>33</v>
      </c>
      <c r="B169" s="329" t="s">
        <v>4</v>
      </c>
      <c r="C169" s="465" t="s">
        <v>925</v>
      </c>
      <c r="D169" s="484">
        <f>+D142-D167</f>
        <v>134725962.22028792</v>
      </c>
      <c r="E169" s="1295">
        <f t="shared" ref="E169:AS169" si="61">+E142-E167</f>
        <v>152365.35604699998</v>
      </c>
      <c r="F169" s="486">
        <f t="shared" si="61"/>
        <v>0</v>
      </c>
      <c r="G169" s="486">
        <f t="shared" si="61"/>
        <v>0</v>
      </c>
      <c r="H169" s="486">
        <f t="shared" si="61"/>
        <v>-348814.75209316192</v>
      </c>
      <c r="I169" s="486">
        <f t="shared" si="61"/>
        <v>543136.50103020924</v>
      </c>
      <c r="J169" s="486">
        <f t="shared" si="61"/>
        <v>0</v>
      </c>
      <c r="K169" s="486">
        <f t="shared" si="61"/>
        <v>0</v>
      </c>
      <c r="L169" s="486">
        <f t="shared" si="61"/>
        <v>0</v>
      </c>
      <c r="M169" s="486">
        <f t="shared" si="61"/>
        <v>0</v>
      </c>
      <c r="N169" s="486">
        <f t="shared" si="61"/>
        <v>0</v>
      </c>
      <c r="O169" s="486">
        <f t="shared" si="61"/>
        <v>-81134.752065464156</v>
      </c>
      <c r="P169" s="486">
        <f t="shared" si="61"/>
        <v>0</v>
      </c>
      <c r="Q169" s="486">
        <f t="shared" si="61"/>
        <v>0</v>
      </c>
      <c r="R169" s="486">
        <f t="shared" si="61"/>
        <v>0</v>
      </c>
      <c r="S169" s="486">
        <f t="shared" si="61"/>
        <v>0</v>
      </c>
      <c r="T169" s="486">
        <f t="shared" si="61"/>
        <v>0</v>
      </c>
      <c r="U169" s="486">
        <f t="shared" si="61"/>
        <v>0</v>
      </c>
      <c r="V169" s="486">
        <f t="shared" si="61"/>
        <v>0</v>
      </c>
      <c r="W169" s="486">
        <f t="shared" si="61"/>
        <v>0</v>
      </c>
      <c r="X169" s="486">
        <f t="shared" si="61"/>
        <v>0</v>
      </c>
      <c r="Y169" s="486">
        <f t="shared" si="61"/>
        <v>0</v>
      </c>
      <c r="Z169" s="486">
        <f t="shared" si="61"/>
        <v>0</v>
      </c>
      <c r="AA169" s="486">
        <f t="shared" si="61"/>
        <v>0</v>
      </c>
      <c r="AB169" s="486">
        <f t="shared" si="61"/>
        <v>0</v>
      </c>
      <c r="AC169" s="486">
        <f t="shared" si="61"/>
        <v>-8365.7772850000765</v>
      </c>
      <c r="AD169" s="486">
        <f t="shared" si="61"/>
        <v>0</v>
      </c>
      <c r="AE169" s="485">
        <f>+AE142-AE167</f>
        <v>1555027.3769056804</v>
      </c>
      <c r="AF169" s="485">
        <f>+AF142-AF167</f>
        <v>201172.12539999996</v>
      </c>
      <c r="AG169" s="486">
        <f>+AG142-AG167</f>
        <v>-5523856.8748024488</v>
      </c>
      <c r="AH169" s="486">
        <f t="shared" ref="AH169:AO169" si="62">+AH142-AH167</f>
        <v>-2203239.8638000004</v>
      </c>
      <c r="AI169" s="486">
        <f t="shared" si="62"/>
        <v>-12006.538499999999</v>
      </c>
      <c r="AJ169" s="486">
        <f t="shared" si="62"/>
        <v>-4818440.9902843507</v>
      </c>
      <c r="AK169" s="486">
        <f t="shared" si="62"/>
        <v>0</v>
      </c>
      <c r="AL169" s="486">
        <f t="shared" si="62"/>
        <v>0</v>
      </c>
      <c r="AM169" s="486">
        <f t="shared" si="62"/>
        <v>0</v>
      </c>
      <c r="AN169" s="486">
        <f t="shared" si="62"/>
        <v>0</v>
      </c>
      <c r="AO169" s="486">
        <f t="shared" si="62"/>
        <v>0</v>
      </c>
      <c r="AP169" s="486">
        <f t="shared" si="61"/>
        <v>0</v>
      </c>
      <c r="AQ169" s="486">
        <f t="shared" si="61"/>
        <v>1994565.5414671653</v>
      </c>
      <c r="AR169" s="486">
        <f t="shared" si="61"/>
        <v>660880.00563955808</v>
      </c>
      <c r="AS169" s="1295">
        <f t="shared" si="61"/>
        <v>0</v>
      </c>
      <c r="AT169" s="486"/>
      <c r="AU169" s="486"/>
      <c r="AV169" s="486"/>
      <c r="AW169" s="485"/>
      <c r="AX169" s="485"/>
      <c r="AY169" s="486"/>
      <c r="AZ169" s="486"/>
      <c r="BB169" s="484">
        <f>+BB142-BB167</f>
        <v>-7888712.6423408128</v>
      </c>
      <c r="BC169" s="484">
        <f>+BC142-BC167</f>
        <v>126837249.57794708</v>
      </c>
      <c r="BD169" s="444"/>
      <c r="BE169" s="173"/>
      <c r="BF169" s="336"/>
    </row>
    <row r="170" spans="1:58" ht="12" customHeight="1" outlineLevel="1" thickTop="1" x14ac:dyDescent="0.35">
      <c r="A170" s="336">
        <f t="shared" si="51"/>
        <v>34</v>
      </c>
      <c r="B170"/>
      <c r="C170" s="465" t="s">
        <v>925</v>
      </c>
      <c r="D170" s="219"/>
      <c r="E170" s="129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t="s">
        <v>19</v>
      </c>
      <c r="AB170" s="116"/>
      <c r="AC170" s="116"/>
      <c r="AD170" s="116"/>
      <c r="AE170" s="416"/>
      <c r="AF170" s="416"/>
      <c r="AG170" s="116"/>
      <c r="AH170" s="116"/>
      <c r="AI170" s="116"/>
      <c r="AJ170" s="116"/>
      <c r="AK170" s="116"/>
      <c r="AL170" s="116"/>
      <c r="AM170" s="116"/>
      <c r="AN170" s="116"/>
      <c r="AO170" s="116"/>
      <c r="AP170" s="116"/>
      <c r="AQ170" s="116"/>
      <c r="AR170" s="116"/>
      <c r="AS170" s="1296"/>
      <c r="AT170" s="116"/>
      <c r="AU170" s="116"/>
      <c r="AV170" s="116"/>
      <c r="AW170" s="416"/>
      <c r="AX170" s="416"/>
      <c r="AY170" s="116"/>
      <c r="AZ170" s="116"/>
      <c r="BB170" s="219"/>
      <c r="BC170" s="219"/>
      <c r="BD170" s="444"/>
      <c r="BE170" s="173"/>
      <c r="BF170" s="336"/>
    </row>
    <row r="171" spans="1:58" outlineLevel="1" x14ac:dyDescent="0.35">
      <c r="A171" s="336">
        <f t="shared" si="51"/>
        <v>35</v>
      </c>
      <c r="B171" s="464" t="s">
        <v>124</v>
      </c>
      <c r="C171" s="465" t="s">
        <v>925</v>
      </c>
      <c r="D171" s="476">
        <f>D182</f>
        <v>2802449377.1695061</v>
      </c>
      <c r="E171" s="1292">
        <f>E182</f>
        <v>0</v>
      </c>
      <c r="F171" s="173">
        <f t="shared" ref="F171:AS171" si="63">F182</f>
        <v>0</v>
      </c>
      <c r="G171" s="173">
        <f t="shared" si="63"/>
        <v>0</v>
      </c>
      <c r="H171" s="173">
        <f t="shared" si="63"/>
        <v>0</v>
      </c>
      <c r="I171" s="173">
        <f t="shared" si="63"/>
        <v>0</v>
      </c>
      <c r="J171" s="173">
        <f t="shared" si="63"/>
        <v>0</v>
      </c>
      <c r="K171" s="173">
        <f t="shared" si="63"/>
        <v>0</v>
      </c>
      <c r="L171" s="173">
        <f t="shared" si="63"/>
        <v>0</v>
      </c>
      <c r="M171" s="173">
        <f t="shared" si="63"/>
        <v>0</v>
      </c>
      <c r="N171" s="173">
        <f t="shared" si="63"/>
        <v>0</v>
      </c>
      <c r="O171" s="173">
        <f t="shared" si="63"/>
        <v>0</v>
      </c>
      <c r="P171" s="173">
        <f t="shared" si="63"/>
        <v>0</v>
      </c>
      <c r="Q171" s="173">
        <f t="shared" si="63"/>
        <v>0</v>
      </c>
      <c r="R171" s="173">
        <f t="shared" si="63"/>
        <v>0</v>
      </c>
      <c r="S171" s="173">
        <f t="shared" si="63"/>
        <v>0</v>
      </c>
      <c r="T171" s="173">
        <f t="shared" si="63"/>
        <v>0</v>
      </c>
      <c r="U171" s="173">
        <f t="shared" si="63"/>
        <v>0</v>
      </c>
      <c r="V171" s="173">
        <f t="shared" si="63"/>
        <v>0</v>
      </c>
      <c r="W171" s="173">
        <f t="shared" si="63"/>
        <v>0</v>
      </c>
      <c r="X171" s="173">
        <f t="shared" si="63"/>
        <v>0</v>
      </c>
      <c r="Y171" s="173">
        <f t="shared" si="63"/>
        <v>0</v>
      </c>
      <c r="Z171" s="173">
        <f t="shared" si="63"/>
        <v>0</v>
      </c>
      <c r="AA171" s="173">
        <f t="shared" si="63"/>
        <v>0</v>
      </c>
      <c r="AB171" s="173">
        <f t="shared" si="63"/>
        <v>0</v>
      </c>
      <c r="AC171" s="173">
        <f t="shared" si="63"/>
        <v>0</v>
      </c>
      <c r="AD171" s="173">
        <f t="shared" si="63"/>
        <v>0</v>
      </c>
      <c r="AE171" s="420">
        <f>AE182</f>
        <v>-172911836.65312946</v>
      </c>
      <c r="AF171" s="420">
        <f>AF182</f>
        <v>297280.34000000003</v>
      </c>
      <c r="AG171" s="173">
        <f>AG182</f>
        <v>126477500.64549002</v>
      </c>
      <c r="AH171" s="173">
        <f t="shared" ref="AH171:AN171" si="64">AH182</f>
        <v>85035899.859999985</v>
      </c>
      <c r="AI171" s="173">
        <f t="shared" si="64"/>
        <v>13028953.590000002</v>
      </c>
      <c r="AJ171" s="173">
        <f t="shared" si="64"/>
        <v>54132411.425150014</v>
      </c>
      <c r="AK171" s="173">
        <f t="shared" si="64"/>
        <v>0</v>
      </c>
      <c r="AL171" s="173">
        <f t="shared" si="64"/>
        <v>0</v>
      </c>
      <c r="AM171" s="173">
        <f t="shared" si="64"/>
        <v>0</v>
      </c>
      <c r="AN171" s="173">
        <f t="shared" si="64"/>
        <v>0</v>
      </c>
      <c r="AO171" s="173"/>
      <c r="AP171" s="173">
        <f t="shared" si="63"/>
        <v>0</v>
      </c>
      <c r="AQ171" s="173">
        <f t="shared" si="63"/>
        <v>-8672507.3526021261</v>
      </c>
      <c r="AR171" s="173">
        <f t="shared" si="63"/>
        <v>953145.69718474289</v>
      </c>
      <c r="AS171" s="1292">
        <f t="shared" si="63"/>
        <v>0</v>
      </c>
      <c r="AT171" s="173"/>
      <c r="AU171" s="173"/>
      <c r="AV171" s="173"/>
      <c r="AW171" s="420"/>
      <c r="AX171" s="420"/>
      <c r="AY171" s="173"/>
      <c r="AZ171" s="173"/>
      <c r="BB171" s="476">
        <f>BB182</f>
        <v>98340847.552093089</v>
      </c>
      <c r="BC171" s="476">
        <f>BC182</f>
        <v>2900790224.7215991</v>
      </c>
      <c r="BD171" s="444"/>
      <c r="BE171" s="173"/>
      <c r="BF171" s="336"/>
    </row>
    <row r="172" spans="1:58" outlineLevel="1" x14ac:dyDescent="0.35">
      <c r="A172" s="336">
        <f t="shared" si="51"/>
        <v>36</v>
      </c>
      <c r="C172" s="465" t="s">
        <v>925</v>
      </c>
      <c r="D172" s="466"/>
      <c r="E172" s="1279"/>
      <c r="AE172" s="341"/>
      <c r="AF172" s="341"/>
      <c r="AM172" s="487"/>
      <c r="AS172" s="1279"/>
      <c r="AW172" s="341"/>
      <c r="AX172" s="341"/>
      <c r="BB172" s="466"/>
      <c r="BC172" s="466"/>
      <c r="BD172" s="444"/>
      <c r="BE172" s="173"/>
      <c r="BF172" s="336"/>
    </row>
    <row r="173" spans="1:58" outlineLevel="1" x14ac:dyDescent="0.35">
      <c r="A173" s="336">
        <f t="shared" si="51"/>
        <v>37</v>
      </c>
      <c r="B173" s="464" t="s">
        <v>125</v>
      </c>
      <c r="C173" s="465" t="s">
        <v>925</v>
      </c>
      <c r="D173" s="488">
        <f>+D169/D171</f>
        <v>4.8074360706690841E-2</v>
      </c>
      <c r="E173" s="1290"/>
      <c r="F173" s="472"/>
      <c r="G173" s="472"/>
      <c r="H173" s="472"/>
      <c r="I173" s="472"/>
      <c r="J173" s="472"/>
      <c r="K173" s="472"/>
      <c r="L173" s="472"/>
      <c r="M173" s="472"/>
      <c r="N173" s="472"/>
      <c r="O173" s="472"/>
      <c r="P173" s="472"/>
      <c r="Q173" s="472"/>
      <c r="R173" s="472"/>
      <c r="S173" s="472"/>
      <c r="T173" s="472"/>
      <c r="U173" s="472"/>
      <c r="V173" s="472"/>
      <c r="W173" s="472"/>
      <c r="X173" s="472"/>
      <c r="Y173" s="472"/>
      <c r="Z173" s="472"/>
      <c r="AA173" s="472"/>
      <c r="AB173" s="472"/>
      <c r="AC173" s="472"/>
      <c r="AD173" s="472"/>
      <c r="AE173" s="471"/>
      <c r="AF173" s="471"/>
      <c r="AG173" s="472"/>
      <c r="AH173" s="472"/>
      <c r="AI173" s="472"/>
      <c r="AJ173" s="472"/>
      <c r="AK173" s="472"/>
      <c r="AL173" s="472"/>
      <c r="AM173" s="489"/>
      <c r="AN173" s="472"/>
      <c r="AO173" s="472"/>
      <c r="AP173" s="472"/>
      <c r="AQ173" s="472"/>
      <c r="AR173" s="472"/>
      <c r="AS173" s="1290"/>
      <c r="AT173" s="472"/>
      <c r="AU173" s="472"/>
      <c r="AV173" s="472"/>
      <c r="AW173" s="471"/>
      <c r="AX173" s="471"/>
      <c r="AY173" s="472"/>
      <c r="AZ173" s="472"/>
      <c r="BB173" s="470"/>
      <c r="BC173" s="488">
        <f>+BC169/BC171</f>
        <v>4.372506791321671E-2</v>
      </c>
      <c r="BD173" s="444"/>
      <c r="BE173" s="173"/>
      <c r="BF173" s="336"/>
    </row>
    <row r="174" spans="1:58" outlineLevel="1" x14ac:dyDescent="0.35">
      <c r="A174" s="336">
        <f t="shared" si="51"/>
        <v>38</v>
      </c>
      <c r="C174" s="465" t="s">
        <v>925</v>
      </c>
      <c r="D174" s="470"/>
      <c r="E174" s="1290"/>
      <c r="F174" s="472"/>
      <c r="G174" s="472"/>
      <c r="H174" s="472"/>
      <c r="I174" s="472"/>
      <c r="J174" s="472"/>
      <c r="K174" s="472"/>
      <c r="L174" s="472"/>
      <c r="M174" s="472"/>
      <c r="N174" s="472"/>
      <c r="O174" s="472"/>
      <c r="P174" s="472"/>
      <c r="Q174" s="472"/>
      <c r="R174" s="472"/>
      <c r="S174" s="472"/>
      <c r="T174" s="472"/>
      <c r="U174" s="472"/>
      <c r="V174" s="472"/>
      <c r="W174" s="472"/>
      <c r="X174" s="472"/>
      <c r="Y174" s="472"/>
      <c r="Z174" s="472"/>
      <c r="AA174" s="472"/>
      <c r="AB174" s="472"/>
      <c r="AC174" s="472"/>
      <c r="AD174" s="472"/>
      <c r="AE174" s="471"/>
      <c r="AF174" s="471"/>
      <c r="AG174" s="472"/>
      <c r="AH174" s="472"/>
      <c r="AI174" s="472"/>
      <c r="AJ174" s="472"/>
      <c r="AK174" s="472"/>
      <c r="AL174" s="472"/>
      <c r="AM174" s="472"/>
      <c r="AN174" s="472"/>
      <c r="AO174" s="472"/>
      <c r="AP174" s="472"/>
      <c r="AQ174" s="472"/>
      <c r="AR174" s="472"/>
      <c r="AS174" s="1290"/>
      <c r="AT174" s="472"/>
      <c r="AU174" s="472"/>
      <c r="AV174" s="472"/>
      <c r="AW174" s="471"/>
      <c r="AX174" s="471"/>
      <c r="AY174" s="472"/>
      <c r="AZ174" s="472"/>
      <c r="BB174" s="470"/>
      <c r="BC174" s="470"/>
      <c r="BD174" s="444"/>
      <c r="BE174" s="173"/>
      <c r="BF174" s="336"/>
    </row>
    <row r="175" spans="1:58" outlineLevel="1" x14ac:dyDescent="0.35">
      <c r="A175" s="336">
        <f t="shared" si="51"/>
        <v>39</v>
      </c>
      <c r="B175" s="329" t="s">
        <v>126</v>
      </c>
      <c r="C175" s="465" t="s">
        <v>925</v>
      </c>
      <c r="D175" s="470"/>
      <c r="E175" s="1290"/>
      <c r="F175" s="472"/>
      <c r="G175" s="472"/>
      <c r="H175" s="472"/>
      <c r="I175" s="472"/>
      <c r="J175" s="472"/>
      <c r="K175" s="472"/>
      <c r="L175" s="472"/>
      <c r="M175" s="472"/>
      <c r="N175" s="472"/>
      <c r="O175" s="472"/>
      <c r="P175" s="472"/>
      <c r="Q175" s="472"/>
      <c r="R175" s="472"/>
      <c r="S175" s="472"/>
      <c r="T175" s="472"/>
      <c r="U175" s="472"/>
      <c r="V175" s="472"/>
      <c r="W175" s="472"/>
      <c r="X175" s="472"/>
      <c r="Y175" s="472"/>
      <c r="Z175" s="472"/>
      <c r="AA175" s="472"/>
      <c r="AB175" s="472"/>
      <c r="AC175" s="472"/>
      <c r="AD175" s="472"/>
      <c r="AE175" s="471"/>
      <c r="AF175" s="471"/>
      <c r="AG175" s="472"/>
      <c r="AH175" s="472"/>
      <c r="AI175" s="472"/>
      <c r="AJ175" s="472"/>
      <c r="AK175" s="472"/>
      <c r="AL175" s="472"/>
      <c r="AM175" s="472"/>
      <c r="AN175" s="472"/>
      <c r="AO175" s="472"/>
      <c r="AP175" s="472"/>
      <c r="AQ175" s="472"/>
      <c r="AR175" s="472"/>
      <c r="AS175" s="1290"/>
      <c r="AT175" s="472"/>
      <c r="AU175" s="472"/>
      <c r="AV175" s="472"/>
      <c r="AW175" s="471"/>
      <c r="AX175" s="471"/>
      <c r="AY175" s="472"/>
      <c r="AZ175" s="472"/>
      <c r="BB175" s="470"/>
      <c r="BC175" s="470"/>
      <c r="BD175" s="444"/>
      <c r="BE175" s="173"/>
      <c r="BF175" s="336"/>
    </row>
    <row r="176" spans="1:58" outlineLevel="1" x14ac:dyDescent="0.35">
      <c r="A176" s="336">
        <f t="shared" si="51"/>
        <v>40</v>
      </c>
      <c r="B176" s="490" t="s">
        <v>20</v>
      </c>
      <c r="C176" s="465" t="s">
        <v>925</v>
      </c>
      <c r="D176" s="476">
        <f t="shared" ref="D176:D181" si="65">+BC115</f>
        <v>5428282396.9336042</v>
      </c>
      <c r="E176" s="1292"/>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f>'Common Adj'!QR17</f>
        <v>-24880223.598138332</v>
      </c>
      <c r="AE176" s="173"/>
      <c r="AF176" s="173"/>
      <c r="AG176" s="173">
        <f>'Common Adj'!$ST$28</f>
        <v>135484651.20414501</v>
      </c>
      <c r="AH176" s="173">
        <f>'Common Adj'!$ST$46</f>
        <v>89119728.279999986</v>
      </c>
      <c r="AI176" s="173">
        <f>'Common Adj'!$ST$64</f>
        <v>13145865.390000001</v>
      </c>
      <c r="AJ176" s="173">
        <f>'Common Adj'!$ST$82</f>
        <v>62546234.740635008</v>
      </c>
      <c r="AK176" s="173"/>
      <c r="AL176" s="173"/>
      <c r="AM176" s="173"/>
      <c r="AN176" s="173">
        <f>'Common Adj'!VR20</f>
        <v>0</v>
      </c>
      <c r="AO176" s="173"/>
      <c r="AP176" s="173"/>
      <c r="AQ176" s="173"/>
      <c r="AR176" s="173">
        <f>'Gas Adj'!CU18</f>
        <v>0</v>
      </c>
      <c r="AS176" s="1292">
        <f>'Gas Adj'!DD18</f>
        <v>0</v>
      </c>
      <c r="AT176" s="173"/>
      <c r="AU176" s="173"/>
      <c r="AV176" s="173"/>
      <c r="AW176" s="420"/>
      <c r="AX176" s="420"/>
      <c r="AY176" s="173"/>
      <c r="AZ176" s="173"/>
      <c r="BB176" s="476">
        <f t="shared" ref="BB176:BB181" si="66">SUM(E176:AZ176)</f>
        <v>275416256.01664162</v>
      </c>
      <c r="BC176" s="476">
        <f t="shared" ref="BC176:BC181" si="67">+BB176+BC115</f>
        <v>5703698652.9502459</v>
      </c>
      <c r="BD176" s="444"/>
      <c r="BE176" s="173"/>
      <c r="BF176" s="336"/>
    </row>
    <row r="177" spans="1:60" outlineLevel="1" x14ac:dyDescent="0.35">
      <c r="A177" s="336">
        <f t="shared" si="51"/>
        <v>41</v>
      </c>
      <c r="B177" s="490" t="s">
        <v>21</v>
      </c>
      <c r="C177" s="465" t="s">
        <v>925</v>
      </c>
      <c r="D177" s="470">
        <f t="shared" si="65"/>
        <v>-2195356802.5214171</v>
      </c>
      <c r="E177" s="1290"/>
      <c r="F177" s="472"/>
      <c r="G177" s="472"/>
      <c r="H177" s="472"/>
      <c r="I177" s="472"/>
      <c r="J177" s="472"/>
      <c r="K177" s="472"/>
      <c r="L177" s="472"/>
      <c r="M177" s="472"/>
      <c r="N177" s="472"/>
      <c r="O177" s="472"/>
      <c r="P177" s="472"/>
      <c r="Q177" s="472"/>
      <c r="R177" s="472"/>
      <c r="S177" s="472"/>
      <c r="T177" s="472"/>
      <c r="U177" s="472"/>
      <c r="V177" s="472"/>
      <c r="W177" s="472"/>
      <c r="X177" s="472"/>
      <c r="Y177" s="472"/>
      <c r="Z177" s="472"/>
      <c r="AA177" s="472"/>
      <c r="AB177" s="472"/>
      <c r="AC177" s="472"/>
      <c r="AD177" s="472">
        <f>'Common Adj'!QR18</f>
        <v>24880223.598138332</v>
      </c>
      <c r="AE177" s="472">
        <f>'Common Adj'!RJ34</f>
        <v>-192199558.02446508</v>
      </c>
      <c r="AF177" s="472">
        <f>'Common Adj'!SB33</f>
        <v>297280.34000000003</v>
      </c>
      <c r="AG177" s="472">
        <f>'Common Adj'!$ST$29</f>
        <v>-7603494.9489650009</v>
      </c>
      <c r="AH177" s="472">
        <f>'Common Adj'!$ST$47</f>
        <v>-3192662.92</v>
      </c>
      <c r="AI177" s="472">
        <f>'Common Adj'!$ST$65</f>
        <v>-15815.929999999998</v>
      </c>
      <c r="AJ177" s="472">
        <f>'Common Adj'!$ST$83</f>
        <v>-6479803.2025349988</v>
      </c>
      <c r="AK177" s="472"/>
      <c r="AL177" s="472"/>
      <c r="AM177" s="481"/>
      <c r="AN177" s="472"/>
      <c r="AO177" s="472"/>
      <c r="AP177" s="472"/>
      <c r="AQ177" s="472"/>
      <c r="AR177" s="472">
        <f>'Gas Adj'!CU19+'Gas Adj'!CU20</f>
        <v>836556.96916399756</v>
      </c>
      <c r="AS177" s="1290">
        <f>'Gas Adj'!DD19+'Gas Adj'!DD20</f>
        <v>0</v>
      </c>
      <c r="AT177" s="481"/>
      <c r="AU177" s="472"/>
      <c r="AV177" s="472"/>
      <c r="AW177" s="471"/>
      <c r="AX177" s="471"/>
      <c r="AY177" s="472"/>
      <c r="AZ177" s="472"/>
      <c r="BB177" s="470">
        <f t="shared" si="66"/>
        <v>-183477274.11866277</v>
      </c>
      <c r="BC177" s="470">
        <f t="shared" si="67"/>
        <v>-2378834076.64008</v>
      </c>
      <c r="BD177" s="444"/>
      <c r="BE177" s="173"/>
      <c r="BF177" s="336"/>
    </row>
    <row r="178" spans="1:60" outlineLevel="1" x14ac:dyDescent="0.35">
      <c r="A178" s="336">
        <f t="shared" si="51"/>
        <v>42</v>
      </c>
      <c r="B178" s="329" t="s">
        <v>127</v>
      </c>
      <c r="C178" s="465" t="s">
        <v>925</v>
      </c>
      <c r="D178" s="470">
        <f t="shared" si="65"/>
        <v>27491696.96823791</v>
      </c>
      <c r="E178" s="1290"/>
      <c r="F178" s="472"/>
      <c r="G178" s="472"/>
      <c r="H178" s="472"/>
      <c r="I178" s="472"/>
      <c r="J178" s="472"/>
      <c r="K178" s="472"/>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f>'Common Adj'!SB34</f>
        <v>0</v>
      </c>
      <c r="AG178" s="472"/>
      <c r="AH178" s="472"/>
      <c r="AI178" s="472"/>
      <c r="AJ178" s="472"/>
      <c r="AK178" s="472"/>
      <c r="AL178" s="472">
        <f>'Common Adj'!UY17</f>
        <v>0</v>
      </c>
      <c r="AM178" s="481"/>
      <c r="AN178" s="472"/>
      <c r="AO178" s="472"/>
      <c r="AP178" s="472"/>
      <c r="AQ178" s="472">
        <f>'Gas Adj'!CC25</f>
        <v>-10489888.836809613</v>
      </c>
      <c r="AR178" s="472"/>
      <c r="AS178" s="1290"/>
      <c r="AT178" s="481"/>
      <c r="AU178" s="472"/>
      <c r="AV178" s="472"/>
      <c r="AW178" s="471"/>
      <c r="AX178" s="471"/>
      <c r="AY178" s="472"/>
      <c r="AZ178" s="472"/>
      <c r="BB178" s="470">
        <f t="shared" si="66"/>
        <v>-10489888.836809613</v>
      </c>
      <c r="BC178" s="470">
        <f t="shared" si="67"/>
        <v>17001808.131428298</v>
      </c>
      <c r="BD178" s="444"/>
      <c r="BE178" s="173"/>
      <c r="BF178" s="336"/>
    </row>
    <row r="179" spans="1:60" outlineLevel="1" x14ac:dyDescent="0.35">
      <c r="A179" s="336">
        <f t="shared" si="51"/>
        <v>43</v>
      </c>
      <c r="B179" s="329" t="s">
        <v>128</v>
      </c>
      <c r="C179" s="465" t="s">
        <v>925</v>
      </c>
      <c r="D179" s="470">
        <f t="shared" si="65"/>
        <v>-575795383.92351389</v>
      </c>
      <c r="E179" s="1290"/>
      <c r="F179" s="472"/>
      <c r="G179" s="472"/>
      <c r="H179" s="472">
        <f>+'Common Adj'!BK24</f>
        <v>0</v>
      </c>
      <c r="I179" s="472"/>
      <c r="J179" s="472"/>
      <c r="K179" s="472"/>
      <c r="L179" s="472"/>
      <c r="M179" s="472"/>
      <c r="N179" s="472"/>
      <c r="O179" s="472"/>
      <c r="P179" s="472"/>
      <c r="Q179" s="472"/>
      <c r="R179" s="472"/>
      <c r="S179" s="472"/>
      <c r="T179" s="472"/>
      <c r="U179" s="472"/>
      <c r="V179" s="472"/>
      <c r="W179" s="472"/>
      <c r="X179" s="472"/>
      <c r="Y179" s="472"/>
      <c r="Z179" s="472"/>
      <c r="AA179" s="472"/>
      <c r="AB179" s="472"/>
      <c r="AC179" s="472"/>
      <c r="AD179" s="472"/>
      <c r="AE179" s="472">
        <f>'Common Adj'!RJ35</f>
        <v>19287721.371335626</v>
      </c>
      <c r="AF179" s="472"/>
      <c r="AG179" s="472">
        <f>'Common Adj'!$ST$30</f>
        <v>-1403655.6096900003</v>
      </c>
      <c r="AH179" s="472">
        <f>'Common Adj'!$ST$48</f>
        <v>-891165.5</v>
      </c>
      <c r="AI179" s="472">
        <f>'Common Adj'!$ST$66</f>
        <v>-101095.87</v>
      </c>
      <c r="AJ179" s="472">
        <f>'Common Adj'!$ST$84</f>
        <v>-1934020.11295</v>
      </c>
      <c r="AK179" s="472"/>
      <c r="AL179" s="472">
        <f>'Common Adj'!UY18</f>
        <v>0</v>
      </c>
      <c r="AM179" s="347"/>
      <c r="AN179" s="472">
        <f>'Common Adj'!VR22</f>
        <v>0</v>
      </c>
      <c r="AO179" s="472"/>
      <c r="AP179" s="472"/>
      <c r="AQ179" s="472">
        <f>'Gas Adj'!CC26</f>
        <v>1817381.4842074867</v>
      </c>
      <c r="AR179" s="472">
        <f>'Gas Adj'!CU21</f>
        <v>116588.72802074533</v>
      </c>
      <c r="AS179" s="1290">
        <f>'Gas Adj'!DD21</f>
        <v>0</v>
      </c>
      <c r="AT179" s="265"/>
      <c r="AU179" s="472"/>
      <c r="AV179" s="472"/>
      <c r="AW179" s="471"/>
      <c r="AX179" s="471"/>
      <c r="AY179" s="472"/>
      <c r="AZ179" s="472"/>
      <c r="BB179" s="470">
        <f t="shared" si="66"/>
        <v>16891754.490923855</v>
      </c>
      <c r="BC179" s="470">
        <f t="shared" si="67"/>
        <v>-558903629.43259001</v>
      </c>
      <c r="BD179" s="444"/>
      <c r="BE179" s="173"/>
      <c r="BF179" s="336"/>
    </row>
    <row r="180" spans="1:60" outlineLevel="1" x14ac:dyDescent="0.35">
      <c r="A180" s="336">
        <f t="shared" si="51"/>
        <v>44</v>
      </c>
      <c r="B180" s="329" t="s">
        <v>129</v>
      </c>
      <c r="C180" s="465" t="s">
        <v>925</v>
      </c>
      <c r="D180" s="491">
        <f t="shared" si="65"/>
        <v>119028167.29199991</v>
      </c>
      <c r="E180" s="1290"/>
      <c r="F180" s="472"/>
      <c r="G180" s="472"/>
      <c r="H180" s="472"/>
      <c r="I180" s="472"/>
      <c r="J180" s="472"/>
      <c r="K180" s="472"/>
      <c r="L180" s="472"/>
      <c r="M180" s="472"/>
      <c r="N180" s="472"/>
      <c r="O180" s="472"/>
      <c r="P180" s="472"/>
      <c r="Q180" s="472"/>
      <c r="R180" s="472"/>
      <c r="S180" s="472"/>
      <c r="T180" s="472"/>
      <c r="U180" s="472"/>
      <c r="V180" s="472"/>
      <c r="W180" s="472"/>
      <c r="X180" s="472"/>
      <c r="Y180" s="472"/>
      <c r="Z180" s="472"/>
      <c r="AA180" s="472"/>
      <c r="AB180" s="472"/>
      <c r="AC180" s="472"/>
      <c r="AD180" s="472"/>
      <c r="AE180" s="472"/>
      <c r="AF180" s="472"/>
      <c r="AG180" s="472"/>
      <c r="AH180" s="472"/>
      <c r="AI180" s="472"/>
      <c r="AJ180" s="472"/>
      <c r="AK180" s="472"/>
      <c r="AL180" s="472"/>
      <c r="AM180" s="481"/>
      <c r="AN180" s="472"/>
      <c r="AO180" s="472"/>
      <c r="AP180" s="472"/>
      <c r="AQ180" s="472"/>
      <c r="AR180" s="472"/>
      <c r="AS180" s="1290"/>
      <c r="AT180" s="472"/>
      <c r="AU180" s="472"/>
      <c r="AV180" s="472"/>
      <c r="AW180" s="472"/>
      <c r="AX180" s="472"/>
      <c r="AY180" s="472"/>
      <c r="AZ180" s="472"/>
      <c r="BB180" s="470">
        <f t="shared" si="66"/>
        <v>0</v>
      </c>
      <c r="BC180" s="470">
        <f t="shared" si="67"/>
        <v>119028167.29199991</v>
      </c>
      <c r="BD180" s="444"/>
      <c r="BE180" s="173"/>
      <c r="BF180" s="336"/>
      <c r="BH180" s="329">
        <f>175+61</f>
        <v>236</v>
      </c>
    </row>
    <row r="181" spans="1:60" outlineLevel="1" x14ac:dyDescent="0.35">
      <c r="A181" s="336">
        <f t="shared" si="51"/>
        <v>45</v>
      </c>
      <c r="B181" s="329" t="s">
        <v>130</v>
      </c>
      <c r="C181" s="465" t="s">
        <v>925</v>
      </c>
      <c r="D181" s="470">
        <f t="shared" si="65"/>
        <v>-1200697.579405</v>
      </c>
      <c r="E181" s="1290"/>
      <c r="F181" s="472"/>
      <c r="G181" s="472"/>
      <c r="H181" s="472"/>
      <c r="I181" s="472"/>
      <c r="J181" s="472"/>
      <c r="K181" s="472"/>
      <c r="L181" s="472"/>
      <c r="M181" s="472"/>
      <c r="N181" s="472"/>
      <c r="O181" s="472"/>
      <c r="P181" s="472"/>
      <c r="Q181" s="472"/>
      <c r="R181" s="472"/>
      <c r="S181" s="472"/>
      <c r="T181" s="472"/>
      <c r="U181" s="472"/>
      <c r="V181" s="472"/>
      <c r="W181" s="472"/>
      <c r="X181" s="472"/>
      <c r="Y181" s="472"/>
      <c r="Z181" s="472"/>
      <c r="AA181" s="472"/>
      <c r="AB181" s="472"/>
      <c r="AC181" s="472"/>
      <c r="AD181" s="472"/>
      <c r="AE181" s="472"/>
      <c r="AF181" s="472"/>
      <c r="AG181" s="472"/>
      <c r="AH181" s="472"/>
      <c r="AI181" s="472"/>
      <c r="AJ181" s="472"/>
      <c r="AK181" s="472"/>
      <c r="AL181" s="472"/>
      <c r="AM181" s="481"/>
      <c r="AN181" s="472"/>
      <c r="AO181" s="472"/>
      <c r="AP181" s="472"/>
      <c r="AQ181" s="472"/>
      <c r="AR181" s="472"/>
      <c r="AS181" s="1290"/>
      <c r="AT181" s="472"/>
      <c r="AU181" s="472"/>
      <c r="AV181" s="472"/>
      <c r="AW181" s="472"/>
      <c r="AX181" s="472"/>
      <c r="AY181" s="472"/>
      <c r="AZ181" s="472"/>
      <c r="BB181" s="470">
        <f t="shared" si="66"/>
        <v>0</v>
      </c>
      <c r="BC181" s="470">
        <f t="shared" si="67"/>
        <v>-1200697.579405</v>
      </c>
      <c r="BD181" s="444"/>
      <c r="BE181" s="173"/>
      <c r="BF181" s="336"/>
    </row>
    <row r="182" spans="1:60" ht="15" outlineLevel="1" thickBot="1" x14ac:dyDescent="0.4">
      <c r="A182" s="336">
        <f t="shared" si="51"/>
        <v>46</v>
      </c>
      <c r="B182" s="329" t="s">
        <v>22</v>
      </c>
      <c r="C182" s="465" t="s">
        <v>925</v>
      </c>
      <c r="D182" s="493">
        <f>SUM(D176:D181)</f>
        <v>2802449377.1695061</v>
      </c>
      <c r="E182" s="1301">
        <f>SUM(E176:E181)</f>
        <v>0</v>
      </c>
      <c r="F182" s="494">
        <f t="shared" ref="F182:AS182" si="68">SUM(F176:F181)</f>
        <v>0</v>
      </c>
      <c r="G182" s="494">
        <f t="shared" si="68"/>
        <v>0</v>
      </c>
      <c r="H182" s="494">
        <f t="shared" si="68"/>
        <v>0</v>
      </c>
      <c r="I182" s="494">
        <f t="shared" si="68"/>
        <v>0</v>
      </c>
      <c r="J182" s="494">
        <f t="shared" si="68"/>
        <v>0</v>
      </c>
      <c r="K182" s="494">
        <f t="shared" si="68"/>
        <v>0</v>
      </c>
      <c r="L182" s="494">
        <f t="shared" si="68"/>
        <v>0</v>
      </c>
      <c r="M182" s="494">
        <f t="shared" si="68"/>
        <v>0</v>
      </c>
      <c r="N182" s="494">
        <f t="shared" si="68"/>
        <v>0</v>
      </c>
      <c r="O182" s="494">
        <f t="shared" si="68"/>
        <v>0</v>
      </c>
      <c r="P182" s="494">
        <f t="shared" si="68"/>
        <v>0</v>
      </c>
      <c r="Q182" s="494">
        <f t="shared" si="68"/>
        <v>0</v>
      </c>
      <c r="R182" s="494">
        <f t="shared" si="68"/>
        <v>0</v>
      </c>
      <c r="S182" s="494">
        <f t="shared" si="68"/>
        <v>0</v>
      </c>
      <c r="T182" s="494">
        <f t="shared" si="68"/>
        <v>0</v>
      </c>
      <c r="U182" s="494">
        <f t="shared" si="68"/>
        <v>0</v>
      </c>
      <c r="V182" s="494">
        <f t="shared" si="68"/>
        <v>0</v>
      </c>
      <c r="W182" s="494">
        <f t="shared" si="68"/>
        <v>0</v>
      </c>
      <c r="X182" s="494">
        <f t="shared" si="68"/>
        <v>0</v>
      </c>
      <c r="Y182" s="494">
        <f t="shared" si="68"/>
        <v>0</v>
      </c>
      <c r="Z182" s="494">
        <f t="shared" si="68"/>
        <v>0</v>
      </c>
      <c r="AA182" s="494">
        <f t="shared" si="68"/>
        <v>0</v>
      </c>
      <c r="AB182" s="494">
        <f t="shared" si="68"/>
        <v>0</v>
      </c>
      <c r="AC182" s="494">
        <f t="shared" si="68"/>
        <v>0</v>
      </c>
      <c r="AD182" s="494">
        <f t="shared" si="68"/>
        <v>0</v>
      </c>
      <c r="AE182" s="494">
        <f>SUM(AE176:AE181)</f>
        <v>-172911836.65312946</v>
      </c>
      <c r="AF182" s="494">
        <f>SUM(AF176:AF181)</f>
        <v>297280.34000000003</v>
      </c>
      <c r="AG182" s="494">
        <f>SUM(AG176:AG181)</f>
        <v>126477500.64549002</v>
      </c>
      <c r="AH182" s="494">
        <f t="shared" ref="AH182:AJ182" si="69">SUM(AH176:AH181)</f>
        <v>85035899.859999985</v>
      </c>
      <c r="AI182" s="494">
        <f t="shared" si="69"/>
        <v>13028953.590000002</v>
      </c>
      <c r="AJ182" s="494">
        <f t="shared" si="69"/>
        <v>54132411.425150014</v>
      </c>
      <c r="AK182" s="494">
        <f t="shared" si="68"/>
        <v>0</v>
      </c>
      <c r="AL182" s="494">
        <f t="shared" si="68"/>
        <v>0</v>
      </c>
      <c r="AM182" s="494">
        <f t="shared" si="68"/>
        <v>0</v>
      </c>
      <c r="AN182" s="494">
        <f t="shared" si="68"/>
        <v>0</v>
      </c>
      <c r="AO182" s="494">
        <f t="shared" si="68"/>
        <v>0</v>
      </c>
      <c r="AP182" s="494">
        <f t="shared" si="68"/>
        <v>0</v>
      </c>
      <c r="AQ182" s="494">
        <f t="shared" si="68"/>
        <v>-8672507.3526021261</v>
      </c>
      <c r="AR182" s="494">
        <f t="shared" si="68"/>
        <v>953145.69718474289</v>
      </c>
      <c r="AS182" s="1301">
        <f t="shared" si="68"/>
        <v>0</v>
      </c>
      <c r="AT182" s="494"/>
      <c r="AU182" s="494"/>
      <c r="AV182" s="494"/>
      <c r="AW182" s="494"/>
      <c r="AX182" s="494"/>
      <c r="AY182" s="494"/>
      <c r="AZ182" s="494"/>
      <c r="BB182" s="493">
        <f>SUM(BB176:BB181)</f>
        <v>98340847.552093089</v>
      </c>
      <c r="BC182" s="493">
        <f>SUM(BC176:BC181)</f>
        <v>2900790224.7215991</v>
      </c>
      <c r="BD182" s="444"/>
      <c r="BE182" s="173"/>
      <c r="BF182" s="336"/>
    </row>
    <row r="183" spans="1:60" ht="15" outlineLevel="1" thickTop="1" x14ac:dyDescent="0.35">
      <c r="A183" s="336">
        <f t="shared" si="51"/>
        <v>47</v>
      </c>
      <c r="C183" s="465" t="s">
        <v>925</v>
      </c>
      <c r="D183" s="466"/>
      <c r="E183" s="1279"/>
      <c r="AS183" s="1279"/>
      <c r="BB183" s="466"/>
      <c r="BC183" s="466"/>
      <c r="BD183" s="444"/>
      <c r="BE183" s="173"/>
      <c r="BF183" s="336"/>
    </row>
    <row r="184" spans="1:60" outlineLevel="1" x14ac:dyDescent="0.35">
      <c r="A184" s="336">
        <f t="shared" si="51"/>
        <v>48</v>
      </c>
      <c r="B184" s="329" t="s">
        <v>29</v>
      </c>
      <c r="C184" s="465" t="s">
        <v>925</v>
      </c>
      <c r="D184" s="496">
        <f>+'Def, COC, ConvF DPK-7 '!C13</f>
        <v>7.3575000000000002E-2</v>
      </c>
      <c r="E184" s="1302">
        <f>+'Def, COC, ConvF DPK-7 '!C13</f>
        <v>7.3575000000000002E-2</v>
      </c>
      <c r="F184" s="497">
        <f>+'Def, COC, ConvF DPK-7 '!C13</f>
        <v>7.3575000000000002E-2</v>
      </c>
      <c r="G184" s="497">
        <f>+'Def, COC, ConvF DPK-7 '!C13</f>
        <v>7.3575000000000002E-2</v>
      </c>
      <c r="H184" s="497">
        <f>+'Def, COC, ConvF DPK-7 '!C13</f>
        <v>7.3575000000000002E-2</v>
      </c>
      <c r="I184" s="497">
        <f>+'Def, COC, ConvF DPK-7 '!C13</f>
        <v>7.3575000000000002E-2</v>
      </c>
      <c r="J184" s="497">
        <f>+'Def, COC, ConvF DPK-7 '!C13</f>
        <v>7.3575000000000002E-2</v>
      </c>
      <c r="K184" s="497">
        <f>+'Def, COC, ConvF DPK-7 '!C13</f>
        <v>7.3575000000000002E-2</v>
      </c>
      <c r="L184" s="497">
        <f>+'Def, COC, ConvF DPK-7 '!C13</f>
        <v>7.3575000000000002E-2</v>
      </c>
      <c r="M184" s="497">
        <f>+'Def, COC, ConvF DPK-7 '!C13</f>
        <v>7.3575000000000002E-2</v>
      </c>
      <c r="N184" s="497">
        <f>+'Def, COC, ConvF DPK-7 '!C13</f>
        <v>7.3575000000000002E-2</v>
      </c>
      <c r="O184" s="497">
        <f>+'Def, COC, ConvF DPK-7 '!C13</f>
        <v>7.3575000000000002E-2</v>
      </c>
      <c r="P184" s="497">
        <f>+'Def, COC, ConvF DPK-7 '!C13</f>
        <v>7.3575000000000002E-2</v>
      </c>
      <c r="Q184" s="497">
        <f>+'Def, COC, ConvF DPK-7 '!C13</f>
        <v>7.3575000000000002E-2</v>
      </c>
      <c r="R184" s="497">
        <f>+'Def, COC, ConvF DPK-7 '!C13</f>
        <v>7.3575000000000002E-2</v>
      </c>
      <c r="S184" s="497">
        <f>+'Def, COC, ConvF DPK-7 '!C13</f>
        <v>7.3575000000000002E-2</v>
      </c>
      <c r="T184" s="497">
        <f>+'Def, COC, ConvF DPK-7 '!C13</f>
        <v>7.3575000000000002E-2</v>
      </c>
      <c r="U184" s="497">
        <f>+'Def, COC, ConvF DPK-7 '!C13</f>
        <v>7.3575000000000002E-2</v>
      </c>
      <c r="V184" s="497">
        <f>+'Def, COC, ConvF DPK-7 '!C13</f>
        <v>7.3575000000000002E-2</v>
      </c>
      <c r="W184" s="497">
        <f>+'Def, COC, ConvF DPK-7 '!C13</f>
        <v>7.3575000000000002E-2</v>
      </c>
      <c r="X184" s="497">
        <f>+'Def, COC, ConvF DPK-7 '!C13</f>
        <v>7.3575000000000002E-2</v>
      </c>
      <c r="Y184" s="497">
        <f>+'Def, COC, ConvF DPK-7 '!C13</f>
        <v>7.3575000000000002E-2</v>
      </c>
      <c r="Z184" s="497">
        <f>+'Def, COC, ConvF DPK-7 '!C13</f>
        <v>7.3575000000000002E-2</v>
      </c>
      <c r="AA184" s="497">
        <f>+'Def, COC, ConvF DPK-7 '!C13</f>
        <v>7.3575000000000002E-2</v>
      </c>
      <c r="AB184" s="497">
        <f>+'Def, COC, ConvF DPK-7 '!C13</f>
        <v>7.3575000000000002E-2</v>
      </c>
      <c r="AC184" s="497">
        <f>+'Def, COC, ConvF DPK-7 '!C13</f>
        <v>7.3575000000000002E-2</v>
      </c>
      <c r="AD184" s="497">
        <f>+'Def, COC, ConvF DPK-7 '!C13</f>
        <v>7.3575000000000002E-2</v>
      </c>
      <c r="AE184" s="497">
        <f>+'Def, COC, ConvF DPK-7 '!C13</f>
        <v>7.3575000000000002E-2</v>
      </c>
      <c r="AF184" s="497">
        <f>+'Def, COC, ConvF DPK-7 '!C13</f>
        <v>7.3575000000000002E-2</v>
      </c>
      <c r="AG184" s="497">
        <f>+'Def, COC, ConvF DPK-7 '!$C$13</f>
        <v>7.3575000000000002E-2</v>
      </c>
      <c r="AH184" s="497">
        <f>+'Def, COC, ConvF DPK-7 '!$C$13</f>
        <v>7.3575000000000002E-2</v>
      </c>
      <c r="AI184" s="497">
        <f>+'Def, COC, ConvF DPK-7 '!$C$13</f>
        <v>7.3575000000000002E-2</v>
      </c>
      <c r="AJ184" s="497">
        <f>+'Def, COC, ConvF DPK-7 '!$C$13</f>
        <v>7.3575000000000002E-2</v>
      </c>
      <c r="AK184" s="497">
        <f>+'Def, COC, ConvF DPK-7 '!$C$13</f>
        <v>7.3575000000000002E-2</v>
      </c>
      <c r="AL184" s="497">
        <f>+'Def, COC, ConvF DPK-7 '!$C$13</f>
        <v>7.3575000000000002E-2</v>
      </c>
      <c r="AM184" s="497">
        <f>+'Def, COC, ConvF DPK-7 '!$C$13</f>
        <v>7.3575000000000002E-2</v>
      </c>
      <c r="AN184" s="497">
        <f>+'Def, COC, ConvF DPK-7 '!$C$13</f>
        <v>7.3575000000000002E-2</v>
      </c>
      <c r="AO184" s="497">
        <f>+'Def, COC, ConvF DPK-7 '!$C$13</f>
        <v>7.3575000000000002E-2</v>
      </c>
      <c r="AP184" s="497">
        <f>+'Def, COC, ConvF DPK-7 '!C13</f>
        <v>7.3575000000000002E-2</v>
      </c>
      <c r="AQ184" s="497">
        <f>+'Def, COC, ConvF DPK-7 '!C13</f>
        <v>7.3575000000000002E-2</v>
      </c>
      <c r="AR184" s="497">
        <f>+'Def, COC, ConvF DPK-7 '!C13</f>
        <v>7.3575000000000002E-2</v>
      </c>
      <c r="AS184" s="1302">
        <f>+AR184</f>
        <v>7.3575000000000002E-2</v>
      </c>
      <c r="AT184" s="497"/>
      <c r="AU184" s="497"/>
      <c r="AV184" s="497"/>
      <c r="AW184" s="497"/>
      <c r="AX184" s="497"/>
      <c r="AY184" s="497"/>
      <c r="AZ184" s="497"/>
      <c r="BB184" s="496">
        <f>+'Def, COC, ConvF DPK-7 '!C13</f>
        <v>7.3575000000000002E-2</v>
      </c>
      <c r="BC184" s="496">
        <f>+'Def, COC, ConvF DPK-7 '!C13</f>
        <v>7.3575000000000002E-2</v>
      </c>
      <c r="BD184" s="444"/>
      <c r="BE184" s="173"/>
      <c r="BF184" s="336"/>
    </row>
    <row r="185" spans="1:60" outlineLevel="1" x14ac:dyDescent="0.35">
      <c r="A185" s="336">
        <f t="shared" si="51"/>
        <v>49</v>
      </c>
      <c r="B185" s="329" t="s">
        <v>23</v>
      </c>
      <c r="C185" s="465" t="s">
        <v>925</v>
      </c>
      <c r="D185" s="466">
        <f>+'Def, COC, ConvF DPK-7 '!P20</f>
        <v>0.75421300000000002</v>
      </c>
      <c r="E185" s="1279">
        <f>+'Def, COC, ConvF DPK-7 '!P20</f>
        <v>0.75421300000000002</v>
      </c>
      <c r="F185" s="329">
        <f>+'Def, COC, ConvF DPK-7 '!P20</f>
        <v>0.75421300000000002</v>
      </c>
      <c r="G185" s="329">
        <f>+'Def, COC, ConvF DPK-7 '!P20</f>
        <v>0.75421300000000002</v>
      </c>
      <c r="H185" s="329">
        <f>+'Def, COC, ConvF DPK-7 '!P20</f>
        <v>0.75421300000000002</v>
      </c>
      <c r="I185" s="329">
        <f>+'Def, COC, ConvF DPK-7 '!P20</f>
        <v>0.75421300000000002</v>
      </c>
      <c r="J185" s="329">
        <f>+'Def, COC, ConvF DPK-7 '!P20</f>
        <v>0.75421300000000002</v>
      </c>
      <c r="K185" s="329">
        <f>+'Def, COC, ConvF DPK-7 '!P20</f>
        <v>0.75421300000000002</v>
      </c>
      <c r="L185" s="329">
        <f>+'Def, COC, ConvF DPK-7 '!P20</f>
        <v>0.75421300000000002</v>
      </c>
      <c r="M185" s="329">
        <f>+'Def, COC, ConvF DPK-7 '!P20</f>
        <v>0.75421300000000002</v>
      </c>
      <c r="N185" s="329">
        <f>+'Def, COC, ConvF DPK-7 '!P20</f>
        <v>0.75421300000000002</v>
      </c>
      <c r="O185" s="329">
        <f>+'Def, COC, ConvF DPK-7 '!P20</f>
        <v>0.75421300000000002</v>
      </c>
      <c r="P185" s="329">
        <f>+'Def, COC, ConvF DPK-7 '!P20</f>
        <v>0.75421300000000002</v>
      </c>
      <c r="Q185" s="329">
        <f>+'Def, COC, ConvF DPK-7 '!P20</f>
        <v>0.75421300000000002</v>
      </c>
      <c r="R185" s="329">
        <f>+'Def, COC, ConvF DPK-7 '!P20</f>
        <v>0.75421300000000002</v>
      </c>
      <c r="S185" s="329">
        <f>+'Def, COC, ConvF DPK-7 '!P20</f>
        <v>0.75421300000000002</v>
      </c>
      <c r="T185" s="329">
        <f>+'Def, COC, ConvF DPK-7 '!P20</f>
        <v>0.75421300000000002</v>
      </c>
      <c r="U185" s="329">
        <f>+'Def, COC, ConvF DPK-7 '!P20</f>
        <v>0.75421300000000002</v>
      </c>
      <c r="V185" s="329">
        <f>+'Def, COC, ConvF DPK-7 '!P20</f>
        <v>0.75421300000000002</v>
      </c>
      <c r="W185" s="329">
        <f>+'Def, COC, ConvF DPK-7 '!P20</f>
        <v>0.75421300000000002</v>
      </c>
      <c r="X185" s="329">
        <f>+'Def, COC, ConvF DPK-7 '!P20</f>
        <v>0.75421300000000002</v>
      </c>
      <c r="Y185" s="329">
        <f>+'Def, COC, ConvF DPK-7 '!P20</f>
        <v>0.75421300000000002</v>
      </c>
      <c r="Z185" s="329">
        <f>+'Def, COC, ConvF DPK-7 '!P20</f>
        <v>0.75421300000000002</v>
      </c>
      <c r="AA185" s="329">
        <f>+'Def, COC, ConvF DPK-7 '!P20</f>
        <v>0.75421300000000002</v>
      </c>
      <c r="AB185" s="329">
        <f>+'Def, COC, ConvF DPK-7 '!P20</f>
        <v>0.75421300000000002</v>
      </c>
      <c r="AC185" s="329">
        <f>+'Def, COC, ConvF DPK-7 '!P20</f>
        <v>0.75421300000000002</v>
      </c>
      <c r="AD185" s="329">
        <f>+'Def, COC, ConvF DPK-7 '!P20</f>
        <v>0.75421300000000002</v>
      </c>
      <c r="AE185" s="329">
        <f>+'Def, COC, ConvF DPK-7 '!P20</f>
        <v>0.75421300000000002</v>
      </c>
      <c r="AF185" s="329">
        <f>+'Def, COC, ConvF DPK-7 '!P20</f>
        <v>0.75421300000000002</v>
      </c>
      <c r="AG185" s="329">
        <f>+'Def, COC, ConvF DPK-7 '!$P$20</f>
        <v>0.75421300000000002</v>
      </c>
      <c r="AH185" s="329">
        <f>+'Def, COC, ConvF DPK-7 '!$P$20</f>
        <v>0.75421300000000002</v>
      </c>
      <c r="AI185" s="329">
        <f>+'Def, COC, ConvF DPK-7 '!$P$20</f>
        <v>0.75421300000000002</v>
      </c>
      <c r="AJ185" s="329">
        <f>+'Def, COC, ConvF DPK-7 '!$P$20</f>
        <v>0.75421300000000002</v>
      </c>
      <c r="AK185" s="329">
        <f>+'Def, COC, ConvF DPK-7 '!$P$20</f>
        <v>0.75421300000000002</v>
      </c>
      <c r="AL185" s="329">
        <f>+'Def, COC, ConvF DPK-7 '!$P$20</f>
        <v>0.75421300000000002</v>
      </c>
      <c r="AM185" s="329">
        <f>+'Def, COC, ConvF DPK-7 '!$P$20</f>
        <v>0.75421300000000002</v>
      </c>
      <c r="AN185" s="329">
        <f>+'Def, COC, ConvF DPK-7 '!$P$20</f>
        <v>0.75421300000000002</v>
      </c>
      <c r="AO185" s="329">
        <f>+'Def, COC, ConvF DPK-7 '!$P$20</f>
        <v>0.75421300000000002</v>
      </c>
      <c r="AP185" s="329">
        <f>+'Def, COC, ConvF DPK-7 '!P20</f>
        <v>0.75421300000000002</v>
      </c>
      <c r="AQ185" s="329">
        <f>+'Def, COC, ConvF DPK-7 '!P20</f>
        <v>0.75421300000000002</v>
      </c>
      <c r="AR185" s="329">
        <f>+'Def, COC, ConvF DPK-7 '!P20</f>
        <v>0.75421300000000002</v>
      </c>
      <c r="AS185" s="1279">
        <f>+AR185</f>
        <v>0.75421300000000002</v>
      </c>
      <c r="BB185" s="466">
        <f>+'Def, COC, ConvF DPK-7 '!P20</f>
        <v>0.75421300000000002</v>
      </c>
      <c r="BC185" s="466">
        <f>+'Def, COC, ConvF DPK-7 '!P20</f>
        <v>0.75421300000000002</v>
      </c>
      <c r="BD185" s="444"/>
      <c r="BE185" s="173"/>
      <c r="BF185" s="336"/>
    </row>
    <row r="186" spans="1:60" outlineLevel="1" x14ac:dyDescent="0.35">
      <c r="A186" s="336">
        <f t="shared" si="51"/>
        <v>50</v>
      </c>
      <c r="B186" s="329" t="s">
        <v>186</v>
      </c>
      <c r="C186" s="465" t="s">
        <v>925</v>
      </c>
      <c r="D186" s="470">
        <f>+D169-(D182*D184)</f>
        <v>-71464250.704958498</v>
      </c>
      <c r="E186" s="1303">
        <f t="shared" ref="E186:AS186" si="70">+E169-(E182*E184)</f>
        <v>152365.35604699998</v>
      </c>
      <c r="F186" s="265">
        <f t="shared" si="70"/>
        <v>0</v>
      </c>
      <c r="G186" s="265">
        <f t="shared" si="70"/>
        <v>0</v>
      </c>
      <c r="H186" s="265">
        <f t="shared" si="70"/>
        <v>-348814.75209316192</v>
      </c>
      <c r="I186" s="265">
        <f t="shared" si="70"/>
        <v>543136.50103020924</v>
      </c>
      <c r="J186" s="265">
        <f t="shared" si="70"/>
        <v>0</v>
      </c>
      <c r="K186" s="265">
        <f t="shared" si="70"/>
        <v>0</v>
      </c>
      <c r="L186" s="265">
        <f t="shared" si="70"/>
        <v>0</v>
      </c>
      <c r="M186" s="265">
        <f t="shared" si="70"/>
        <v>0</v>
      </c>
      <c r="N186" s="265">
        <f t="shared" si="70"/>
        <v>0</v>
      </c>
      <c r="O186" s="265">
        <f t="shared" si="70"/>
        <v>-81134.752065464156</v>
      </c>
      <c r="P186" s="265">
        <f t="shared" si="70"/>
        <v>0</v>
      </c>
      <c r="Q186" s="265">
        <f t="shared" si="70"/>
        <v>0</v>
      </c>
      <c r="R186" s="265">
        <f t="shared" si="70"/>
        <v>0</v>
      </c>
      <c r="S186" s="265">
        <f t="shared" si="70"/>
        <v>0</v>
      </c>
      <c r="T186" s="265">
        <f t="shared" si="70"/>
        <v>0</v>
      </c>
      <c r="U186" s="265">
        <f t="shared" si="70"/>
        <v>0</v>
      </c>
      <c r="V186" s="265">
        <f t="shared" si="70"/>
        <v>0</v>
      </c>
      <c r="W186" s="265">
        <f t="shared" si="70"/>
        <v>0</v>
      </c>
      <c r="X186" s="265">
        <f t="shared" si="70"/>
        <v>0</v>
      </c>
      <c r="Y186" s="265">
        <f t="shared" si="70"/>
        <v>0</v>
      </c>
      <c r="Z186" s="265">
        <f t="shared" si="70"/>
        <v>0</v>
      </c>
      <c r="AA186" s="265">
        <f t="shared" si="70"/>
        <v>0</v>
      </c>
      <c r="AB186" s="265">
        <f t="shared" si="70"/>
        <v>0</v>
      </c>
      <c r="AC186" s="265">
        <f t="shared" si="70"/>
        <v>-8365.7772850000765</v>
      </c>
      <c r="AD186" s="265">
        <f t="shared" si="70"/>
        <v>0</v>
      </c>
      <c r="AE186" s="265">
        <f>+AE169-(AE182*AE184)</f>
        <v>14277015.758659679</v>
      </c>
      <c r="AF186" s="265">
        <f>+AF169-(AF182*AF184)</f>
        <v>179299.72438449995</v>
      </c>
      <c r="AG186" s="265">
        <f>+AG169-(AG182*AG184)</f>
        <v>-14829438.984794378</v>
      </c>
      <c r="AH186" s="265">
        <f t="shared" ref="AH186:AO186" si="71">+AH169-(AH182*AH184)</f>
        <v>-8459756.1959994994</v>
      </c>
      <c r="AI186" s="265">
        <f t="shared" si="71"/>
        <v>-970611.79888425022</v>
      </c>
      <c r="AJ186" s="265">
        <f t="shared" si="71"/>
        <v>-8801233.1608897634</v>
      </c>
      <c r="AK186" s="265">
        <f t="shared" si="71"/>
        <v>0</v>
      </c>
      <c r="AL186" s="265">
        <f t="shared" si="71"/>
        <v>0</v>
      </c>
      <c r="AM186" s="265">
        <f t="shared" si="71"/>
        <v>0</v>
      </c>
      <c r="AN186" s="265">
        <f t="shared" si="71"/>
        <v>0</v>
      </c>
      <c r="AO186" s="265">
        <f t="shared" si="71"/>
        <v>0</v>
      </c>
      <c r="AP186" s="265">
        <f t="shared" si="70"/>
        <v>0</v>
      </c>
      <c r="AQ186" s="265">
        <f t="shared" si="70"/>
        <v>2632645.2699348666</v>
      </c>
      <c r="AR186" s="265">
        <f t="shared" si="70"/>
        <v>590752.31096919067</v>
      </c>
      <c r="AS186" s="1303">
        <f t="shared" si="70"/>
        <v>0</v>
      </c>
      <c r="AT186" s="265"/>
      <c r="AU186" s="265"/>
      <c r="AV186" s="265"/>
      <c r="AW186" s="265"/>
      <c r="AX186" s="265"/>
      <c r="AY186" s="265"/>
      <c r="AZ186" s="265"/>
      <c r="BB186" s="470">
        <f>SUM(E186:AZ186)</f>
        <v>-15124140.500986071</v>
      </c>
      <c r="BC186" s="470">
        <f>+BC169-(BC182*BC184)</f>
        <v>-86588391.205944568</v>
      </c>
      <c r="BD186" s="444"/>
      <c r="BE186" s="173"/>
      <c r="BF186" s="336"/>
    </row>
    <row r="187" spans="1:60" outlineLevel="1" x14ac:dyDescent="0.35">
      <c r="A187" s="336">
        <f t="shared" si="51"/>
        <v>51</v>
      </c>
      <c r="B187" s="329" t="s">
        <v>187</v>
      </c>
      <c r="C187" s="465" t="s">
        <v>925</v>
      </c>
      <c r="D187" s="470">
        <f>-D186/D185</f>
        <v>94753406.139855042</v>
      </c>
      <c r="E187" s="1303">
        <f t="shared" ref="E187:AS187" si="72">-E186/E185</f>
        <v>-202018.99999999997</v>
      </c>
      <c r="F187" s="265">
        <f t="shared" si="72"/>
        <v>0</v>
      </c>
      <c r="G187" s="265">
        <f t="shared" si="72"/>
        <v>0</v>
      </c>
      <c r="H187" s="265">
        <f t="shared" si="72"/>
        <v>462488.38470453559</v>
      </c>
      <c r="I187" s="265">
        <f t="shared" si="72"/>
        <v>-720136.75318538561</v>
      </c>
      <c r="J187" s="265">
        <f t="shared" si="72"/>
        <v>0</v>
      </c>
      <c r="K187" s="265">
        <f t="shared" si="72"/>
        <v>0</v>
      </c>
      <c r="L187" s="265">
        <f t="shared" si="72"/>
        <v>0</v>
      </c>
      <c r="M187" s="265">
        <f t="shared" si="72"/>
        <v>0</v>
      </c>
      <c r="N187" s="265">
        <f t="shared" si="72"/>
        <v>0</v>
      </c>
      <c r="O187" s="265">
        <f t="shared" si="72"/>
        <v>107575.38263788102</v>
      </c>
      <c r="P187" s="265">
        <f t="shared" si="72"/>
        <v>0</v>
      </c>
      <c r="Q187" s="265">
        <f t="shared" si="72"/>
        <v>0</v>
      </c>
      <c r="R187" s="265">
        <f t="shared" si="72"/>
        <v>0</v>
      </c>
      <c r="S187" s="265">
        <f t="shared" si="72"/>
        <v>0</v>
      </c>
      <c r="T187" s="265">
        <f t="shared" si="72"/>
        <v>0</v>
      </c>
      <c r="U187" s="265">
        <f t="shared" si="72"/>
        <v>0</v>
      </c>
      <c r="V187" s="265">
        <f t="shared" si="72"/>
        <v>0</v>
      </c>
      <c r="W187" s="265">
        <f t="shared" si="72"/>
        <v>0</v>
      </c>
      <c r="X187" s="265">
        <f t="shared" si="72"/>
        <v>0</v>
      </c>
      <c r="Y187" s="265">
        <f t="shared" si="72"/>
        <v>0</v>
      </c>
      <c r="Z187" s="265">
        <f t="shared" si="72"/>
        <v>0</v>
      </c>
      <c r="AA187" s="265">
        <f t="shared" si="72"/>
        <v>0</v>
      </c>
      <c r="AB187" s="265">
        <f t="shared" si="72"/>
        <v>0</v>
      </c>
      <c r="AC187" s="265">
        <f t="shared" si="72"/>
        <v>11092.061904263221</v>
      </c>
      <c r="AD187" s="265">
        <f t="shared" si="72"/>
        <v>0</v>
      </c>
      <c r="AE187" s="265">
        <f>-AE186/AE185</f>
        <v>-18929686.651727933</v>
      </c>
      <c r="AF187" s="265">
        <f>-AF186/AF185</f>
        <v>-237730.88555156163</v>
      </c>
      <c r="AG187" s="265">
        <f>-AG186/AG185</f>
        <v>19662136.538079266</v>
      </c>
      <c r="AH187" s="265">
        <f t="shared" ref="AH187:AO187" si="73">-AH186/AH185</f>
        <v>11216667.169618528</v>
      </c>
      <c r="AI187" s="265">
        <f t="shared" si="73"/>
        <v>1286920.0065289915</v>
      </c>
      <c r="AJ187" s="265">
        <f t="shared" si="73"/>
        <v>11669426.48945293</v>
      </c>
      <c r="AK187" s="265">
        <f t="shared" si="73"/>
        <v>0</v>
      </c>
      <c r="AL187" s="265">
        <f t="shared" si="73"/>
        <v>0</v>
      </c>
      <c r="AM187" s="265">
        <f t="shared" si="73"/>
        <v>0</v>
      </c>
      <c r="AN187" s="265">
        <f t="shared" si="73"/>
        <v>0</v>
      </c>
      <c r="AO187" s="265">
        <f t="shared" si="73"/>
        <v>0</v>
      </c>
      <c r="AP187" s="265">
        <f t="shared" si="72"/>
        <v>0</v>
      </c>
      <c r="AQ187" s="265">
        <f t="shared" si="72"/>
        <v>-3490585.9086688594</v>
      </c>
      <c r="AR187" s="265">
        <f t="shared" si="72"/>
        <v>-783269.86006498255</v>
      </c>
      <c r="AS187" s="1303">
        <f t="shared" si="72"/>
        <v>0</v>
      </c>
      <c r="AT187" s="265"/>
      <c r="AU187" s="265"/>
      <c r="AV187" s="265"/>
      <c r="AW187" s="265"/>
      <c r="AX187" s="265"/>
      <c r="AY187" s="265"/>
      <c r="AZ187" s="265"/>
      <c r="BB187" s="470">
        <f>SUM(E187:AZ187)</f>
        <v>20052876.973727673</v>
      </c>
      <c r="BC187" s="470">
        <f>-BC186/BC185</f>
        <v>114806283.11358272</v>
      </c>
      <c r="BD187" s="444"/>
      <c r="BE187" s="173"/>
      <c r="BF187" s="336"/>
    </row>
    <row r="188" spans="1:60" outlineLevel="1" x14ac:dyDescent="0.35">
      <c r="A188" s="336">
        <f t="shared" si="51"/>
        <v>52</v>
      </c>
      <c r="B188" s="329" t="s">
        <v>42</v>
      </c>
      <c r="C188" s="465" t="s">
        <v>925</v>
      </c>
      <c r="D188" s="470"/>
      <c r="E188" s="1303"/>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1303"/>
      <c r="AT188" s="265"/>
      <c r="AU188" s="265"/>
      <c r="AV188" s="265"/>
      <c r="AW188" s="265"/>
      <c r="AX188" s="265"/>
      <c r="AY188" s="265"/>
      <c r="AZ188" s="265"/>
      <c r="BB188" s="470"/>
      <c r="BC188" s="470">
        <f>BC127</f>
        <v>0</v>
      </c>
      <c r="BD188" s="444"/>
      <c r="BE188" s="173"/>
      <c r="BF188" s="336"/>
    </row>
    <row r="189" spans="1:60" outlineLevel="1" x14ac:dyDescent="0.35">
      <c r="A189" s="336">
        <f t="shared" si="51"/>
        <v>53</v>
      </c>
      <c r="B189" s="329" t="s">
        <v>43</v>
      </c>
      <c r="C189" s="465" t="s">
        <v>925</v>
      </c>
      <c r="D189" s="470"/>
      <c r="E189" s="1303"/>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1303"/>
      <c r="AT189" s="265"/>
      <c r="AU189" s="265"/>
      <c r="AV189" s="265"/>
      <c r="AW189" s="265"/>
      <c r="AX189" s="265"/>
      <c r="AY189" s="265"/>
      <c r="AZ189" s="265"/>
      <c r="BB189" s="470"/>
      <c r="BC189" s="512">
        <f>SUM(BC187:BC188)</f>
        <v>114806283.11358272</v>
      </c>
      <c r="BD189" s="444"/>
      <c r="BE189" s="173"/>
      <c r="BF189" s="336"/>
    </row>
    <row r="190" spans="1:60" outlineLevel="1" x14ac:dyDescent="0.35">
      <c r="A190" s="336">
        <f t="shared" si="51"/>
        <v>54</v>
      </c>
      <c r="C190" s="465" t="s">
        <v>925</v>
      </c>
      <c r="D190" s="498"/>
      <c r="E190" s="1303"/>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1303"/>
      <c r="AT190" s="265"/>
      <c r="AU190" s="265"/>
      <c r="AV190" s="265"/>
      <c r="AW190" s="265"/>
      <c r="AX190" s="265"/>
      <c r="AY190" s="265"/>
      <c r="AZ190" s="265"/>
      <c r="BB190" s="498"/>
      <c r="BC190" s="498"/>
      <c r="BD190" s="444"/>
      <c r="BE190" s="173"/>
      <c r="BF190" s="336"/>
    </row>
    <row r="191" spans="1:60" outlineLevel="1" x14ac:dyDescent="0.35">
      <c r="A191" s="336">
        <f t="shared" si="51"/>
        <v>55</v>
      </c>
      <c r="C191" s="465" t="s">
        <v>925</v>
      </c>
      <c r="E191" s="1279"/>
      <c r="AS191" s="1279"/>
      <c r="BB191" s="497">
        <f>+'Def, COC, ConvF DPK-7 '!K27</f>
        <v>7.3575000000000002E-2</v>
      </c>
      <c r="BC191" s="497">
        <f>+'Def, COC, ConvF DPK-7 '!K27</f>
        <v>7.3575000000000002E-2</v>
      </c>
      <c r="BD191" s="444"/>
      <c r="BE191" s="173"/>
      <c r="BF191" s="336"/>
    </row>
    <row r="192" spans="1:60" outlineLevel="1" x14ac:dyDescent="0.35">
      <c r="A192" s="336">
        <f t="shared" si="51"/>
        <v>56</v>
      </c>
      <c r="B192" s="499" t="s">
        <v>939</v>
      </c>
      <c r="C192" s="465" t="s">
        <v>925</v>
      </c>
      <c r="D192" s="500"/>
      <c r="E192" s="1304">
        <f>ROUND('Common Adj'!I$71-E169,0)+E171</f>
        <v>0</v>
      </c>
      <c r="F192" s="551">
        <f>ROUND('Common Adj'!AA$65-F169,0)+F171</f>
        <v>0</v>
      </c>
      <c r="G192" s="551">
        <f>ROUND('Common Adj'!AS$30-G169,0)+G171</f>
        <v>0</v>
      </c>
      <c r="H192" s="551">
        <f>ROUND('Common Adj'!BK$22-H169,0)+ROUND('Common Adj'!BK$24-H171,0)</f>
        <v>0</v>
      </c>
      <c r="I192" s="551">
        <f>ROUND('Common Adj'!CC$24-I169,0)+I171</f>
        <v>0</v>
      </c>
      <c r="J192" s="551">
        <f>ROUND('Common Adj'!CU$20-J169,0)+J171</f>
        <v>0</v>
      </c>
      <c r="K192" s="551">
        <f>ROUND('Common Adj'!DM$22-K169,0)+K171</f>
        <v>0</v>
      </c>
      <c r="L192" s="551">
        <f>ROUND('Common Adj'!EE$21-L169,0)+L171</f>
        <v>0</v>
      </c>
      <c r="M192" s="551">
        <f>ROUND('Common Adj'!EW$27-M169,0)+M171</f>
        <v>0</v>
      </c>
      <c r="N192" s="551">
        <f>ROUND('Common Adj'!FO$23-N169,0)+N171</f>
        <v>0</v>
      </c>
      <c r="O192" s="551">
        <f>ROUND('Common Adj'!GG$32-O169,0)+O171</f>
        <v>0</v>
      </c>
      <c r="P192" s="551">
        <f>ROUND('Common Adj'!GY$36-P169,0)+P171</f>
        <v>0</v>
      </c>
      <c r="Q192" s="551">
        <f>ROUND('Common Adj'!HQ$18-Q169,0)+Q171</f>
        <v>0</v>
      </c>
      <c r="R192" s="551">
        <f>ROUND('Common Adj'!II$21-R169,0)+R171</f>
        <v>0</v>
      </c>
      <c r="S192" s="551">
        <f>ROUND('Common Adj'!JA$22-S169,0)+S171</f>
        <v>0</v>
      </c>
      <c r="T192" s="551">
        <f>ROUND('Common Adj'!JS$23-T169,0)+T171</f>
        <v>0</v>
      </c>
      <c r="U192" s="551">
        <f>ROUND('Common Adj'!KK$20-U169,0)+U171</f>
        <v>0</v>
      </c>
      <c r="V192" s="551">
        <f>ROUND('Common Adj'!LC$33-V169,0)+V171</f>
        <v>0</v>
      </c>
      <c r="W192" s="551">
        <f>ROUND('Common Adj'!LU$22-W171,0)+W169</f>
        <v>0</v>
      </c>
      <c r="X192" s="551">
        <f>ROUND('Common Adj'!MM$31-X169,0)+ROUND('Common Adj'!MM$36-X171,0)</f>
        <v>0</v>
      </c>
      <c r="Y192" s="551">
        <f>ROUND('Common Adj'!NE$22-Y169,0)+Y171</f>
        <v>0</v>
      </c>
      <c r="Z192" s="551">
        <f>ROUND('Common Adj'!NW$31-Z169,0)+Z171</f>
        <v>0</v>
      </c>
      <c r="AA192" s="551">
        <f>ROUND('Common Adj'!OO$35-AA169,0)+ROUND('Common Adj'!OO$24-AA171,0)</f>
        <v>0</v>
      </c>
      <c r="AB192" s="551">
        <f>ROUND('Common Adj'!PG$51-AB169,0)+ROUND('Common Adj'!PG$35-AB171,0)</f>
        <v>0</v>
      </c>
      <c r="AC192" s="551">
        <f>ROUND('Common Adj'!PY$21-AC169,0)+AC171</f>
        <v>0</v>
      </c>
      <c r="AD192" s="551">
        <f>ROUND('Common Adj'!QR19-AD171,0)</f>
        <v>0</v>
      </c>
      <c r="AE192" s="551">
        <f>ROUND('Common Adj'!RJ31-AE169,0)+ROUND('Common Adj'!RJ36-AE171,0)</f>
        <v>0</v>
      </c>
      <c r="AF192" s="551">
        <f>ROUND('Common Adj'!SB30-AF169,0)+ROUND('Common Adj'!SB35-AF171,0)</f>
        <v>0</v>
      </c>
      <c r="AG192" s="551">
        <f>ROUND('Common Adj'!$ST$26-AG169,0)+ROUND('Common Adj'!$ST$31-AG171,0)</f>
        <v>0</v>
      </c>
      <c r="AH192" s="551">
        <f>ROUND('Common Adj'!$ST$44-AH169,0)+ROUND('Common Adj'!$ST$49-AH171,0)</f>
        <v>0</v>
      </c>
      <c r="AI192" s="551">
        <f>ROUND('Common Adj'!$ST$62-AI169,0)+ROUND('Common Adj'!$ST$67-AI171,0)</f>
        <v>0</v>
      </c>
      <c r="AJ192" s="551">
        <f>ROUND('Common Adj'!$ST$80-AJ169,0)+ROUND('Common Adj'!$ST$85-AJ171,0)</f>
        <v>0</v>
      </c>
      <c r="AK192" s="551">
        <f>ROUND('Common Adj'!UF$38-AK169,0)</f>
        <v>0</v>
      </c>
      <c r="AL192" s="551">
        <f>ROUND('Common Adj'!UY$27-AL169,0)+ROUND('Common Adj'!UY$19-AL171,0)</f>
        <v>0</v>
      </c>
      <c r="AM192" s="551">
        <f>ROUND('Common Adj'!TM$25-AM169,0)</f>
        <v>0</v>
      </c>
      <c r="AN192" s="551">
        <f>ROUND('Common Adj'!VR$32-AN169,0)+ROUND(AN182-'Common Adj'!VR24,0)</f>
        <v>0</v>
      </c>
      <c r="AO192" s="551">
        <f>ROUND('Common Adj'!WG$21-AO169,0)</f>
        <v>0</v>
      </c>
      <c r="AP192" s="551">
        <f>ROUND('Gas Adj'!BK$49-AP171,0)+ROUND('Gas Adj'!BK$33-AP169,0)</f>
        <v>0</v>
      </c>
      <c r="AQ192" s="551">
        <f>ROUND('Gas Adj'!CC$47-AQ169,0)+ROUND('Gas Adj'!CC$27-AQ171,0)</f>
        <v>0</v>
      </c>
      <c r="AR192" s="551">
        <f>ROUND('Gas Adj'!CU22-AR169+'Gas Adj'!CU31-AR171,0)</f>
        <v>0</v>
      </c>
      <c r="AS192" s="1304">
        <f>ROUND('Gas Adj'!DD22-AS169+'Gas Adj'!DD31-AS171,0)</f>
        <v>0</v>
      </c>
      <c r="AT192" s="547"/>
      <c r="AU192" s="548"/>
      <c r="AV192" s="549"/>
      <c r="AW192" s="549"/>
      <c r="AX192" s="549"/>
      <c r="AY192" s="549"/>
      <c r="AZ192" s="549"/>
      <c r="BB192" s="550"/>
      <c r="BC192" s="550"/>
      <c r="BD192" s="444"/>
      <c r="BF192" s="336"/>
    </row>
    <row r="193" spans="1:58" outlineLevel="1" x14ac:dyDescent="0.35">
      <c r="A193" s="336">
        <f t="shared" si="51"/>
        <v>57</v>
      </c>
      <c r="B193" s="499" t="s">
        <v>953</v>
      </c>
      <c r="C193" s="465" t="s">
        <v>925</v>
      </c>
      <c r="D193" s="551">
        <f>'Summary DPK-7 '!G47-D169</f>
        <v>0</v>
      </c>
      <c r="E193" s="1279"/>
      <c r="AS193" s="1279"/>
      <c r="BC193" s="551">
        <f>'Summary DPK-7 '!I47-BC169</f>
        <v>0</v>
      </c>
      <c r="BD193" s="444"/>
      <c r="BF193" s="336"/>
    </row>
    <row r="194" spans="1:58" outlineLevel="1" x14ac:dyDescent="0.35">
      <c r="B194" s="499" t="s">
        <v>954</v>
      </c>
      <c r="C194" s="465" t="s">
        <v>925</v>
      </c>
      <c r="D194" s="551">
        <f>'Summary DPK-7 '!G58-D182</f>
        <v>0</v>
      </c>
      <c r="E194" s="1279"/>
      <c r="AS194" s="1279"/>
      <c r="BC194" s="551">
        <f>'Summary DPK-7 '!I58-BC182</f>
        <v>0</v>
      </c>
      <c r="BD194" s="444"/>
      <c r="BF194" s="336"/>
    </row>
    <row r="195" spans="1:58" x14ac:dyDescent="0.35">
      <c r="A195" s="456"/>
      <c r="B195" s="503"/>
      <c r="C195" s="504"/>
      <c r="D195" s="462"/>
      <c r="E195" s="456"/>
      <c r="F195" s="456"/>
      <c r="G195" s="456"/>
      <c r="H195" s="456"/>
      <c r="I195" s="456"/>
      <c r="J195" s="456"/>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456"/>
      <c r="AG195" s="456"/>
      <c r="AH195" s="456"/>
      <c r="AI195" s="456"/>
      <c r="AJ195" s="456"/>
      <c r="AK195" s="456"/>
      <c r="AL195" s="456"/>
      <c r="AM195" s="456"/>
      <c r="AN195" s="456"/>
      <c r="AO195" s="456"/>
      <c r="AP195" s="456"/>
      <c r="AQ195" s="456"/>
      <c r="AR195" s="456"/>
      <c r="AS195" s="456"/>
      <c r="AT195" s="456"/>
      <c r="AU195" s="456"/>
      <c r="AV195" s="456"/>
      <c r="AW195" s="456"/>
      <c r="AX195" s="456"/>
      <c r="AY195" s="456"/>
      <c r="AZ195" s="456"/>
      <c r="BB195" s="456"/>
      <c r="BC195" s="462"/>
      <c r="BD195" s="444"/>
      <c r="BF195" s="336"/>
    </row>
    <row r="196" spans="1:58" outlineLevel="1" x14ac:dyDescent="0.35">
      <c r="A196" s="456"/>
      <c r="B196" s="458"/>
      <c r="C196" s="515" t="s">
        <v>923</v>
      </c>
      <c r="D196" s="506"/>
      <c r="E196" s="461">
        <v>45992</v>
      </c>
      <c r="F196" s="461">
        <v>45992</v>
      </c>
      <c r="G196" s="461">
        <v>45992</v>
      </c>
      <c r="H196" s="461">
        <v>45992</v>
      </c>
      <c r="I196" s="461">
        <v>45992</v>
      </c>
      <c r="J196" s="461">
        <v>45992</v>
      </c>
      <c r="K196" s="461">
        <v>45992</v>
      </c>
      <c r="L196" s="461">
        <v>45992</v>
      </c>
      <c r="M196" s="461">
        <v>45992</v>
      </c>
      <c r="N196" s="461">
        <v>45992</v>
      </c>
      <c r="O196" s="461">
        <v>45992</v>
      </c>
      <c r="P196" s="461">
        <v>45992</v>
      </c>
      <c r="Q196" s="461">
        <v>45992</v>
      </c>
      <c r="R196" s="461">
        <v>45992</v>
      </c>
      <c r="S196" s="461">
        <v>45992</v>
      </c>
      <c r="T196" s="461">
        <v>45992</v>
      </c>
      <c r="U196" s="461">
        <v>45992</v>
      </c>
      <c r="V196" s="461">
        <v>45992</v>
      </c>
      <c r="W196" s="461">
        <v>45992</v>
      </c>
      <c r="X196" s="461">
        <v>45992</v>
      </c>
      <c r="Y196" s="461">
        <v>45992</v>
      </c>
      <c r="Z196" s="461">
        <v>45992</v>
      </c>
      <c r="AA196" s="461">
        <v>45992</v>
      </c>
      <c r="AB196" s="461">
        <v>45992</v>
      </c>
      <c r="AC196" s="461">
        <v>45992</v>
      </c>
      <c r="AD196" s="461">
        <v>45992</v>
      </c>
      <c r="AE196" s="461">
        <v>45992</v>
      </c>
      <c r="AF196" s="461">
        <v>45992</v>
      </c>
      <c r="AG196" s="461">
        <v>45992</v>
      </c>
      <c r="AH196" s="461">
        <v>45992</v>
      </c>
      <c r="AI196" s="461">
        <v>45992</v>
      </c>
      <c r="AJ196" s="461">
        <v>45992</v>
      </c>
      <c r="AK196" s="461">
        <v>45992</v>
      </c>
      <c r="AL196" s="461">
        <v>45992</v>
      </c>
      <c r="AM196" s="461">
        <v>45992</v>
      </c>
      <c r="AN196" s="461">
        <v>45992</v>
      </c>
      <c r="AO196" s="461">
        <v>45992</v>
      </c>
      <c r="AP196" s="461">
        <v>45992</v>
      </c>
      <c r="AQ196" s="461">
        <v>45992</v>
      </c>
      <c r="AR196" s="461">
        <v>45992</v>
      </c>
      <c r="AS196" s="461">
        <v>45992</v>
      </c>
      <c r="AT196" s="461">
        <v>45992</v>
      </c>
      <c r="AU196" s="461">
        <v>45992</v>
      </c>
      <c r="AV196" s="461">
        <v>45992</v>
      </c>
      <c r="AW196" s="461">
        <v>45992</v>
      </c>
      <c r="AX196" s="461">
        <v>45992</v>
      </c>
      <c r="AY196" s="461">
        <v>45992</v>
      </c>
      <c r="AZ196" s="461">
        <v>45992</v>
      </c>
      <c r="BB196" s="461">
        <v>45992</v>
      </c>
      <c r="BC196" s="461">
        <v>45992</v>
      </c>
      <c r="BD196" s="444"/>
      <c r="BF196" s="336"/>
    </row>
    <row r="197" spans="1:58" outlineLevel="1" x14ac:dyDescent="0.35">
      <c r="A197" s="456"/>
      <c r="B197" s="458"/>
      <c r="C197" s="515">
        <v>2025</v>
      </c>
      <c r="D197" s="508"/>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c r="AA197" s="463"/>
      <c r="AB197" s="463"/>
      <c r="AC197" s="463"/>
      <c r="AD197" s="463"/>
      <c r="AE197" s="463"/>
      <c r="AF197" s="463"/>
      <c r="AG197" s="463"/>
      <c r="AH197" s="463"/>
      <c r="AI197" s="463"/>
      <c r="AJ197" s="463"/>
      <c r="AK197" s="463"/>
      <c r="AL197" s="463"/>
      <c r="AM197" s="463"/>
      <c r="AN197" s="463"/>
      <c r="AO197" s="463"/>
      <c r="AP197" s="463"/>
      <c r="AQ197" s="463"/>
      <c r="AR197" s="463"/>
      <c r="AS197" s="463"/>
      <c r="AT197" s="463"/>
      <c r="AU197" s="463"/>
      <c r="AV197" s="463"/>
      <c r="AW197" s="463"/>
      <c r="AX197" s="463"/>
      <c r="AY197" s="463"/>
      <c r="AZ197" s="463"/>
      <c r="BB197" s="456"/>
      <c r="BC197" s="462"/>
      <c r="BD197" s="444"/>
      <c r="BF197" s="336"/>
    </row>
    <row r="198" spans="1:58" outlineLevel="1" x14ac:dyDescent="0.35">
      <c r="A198" s="336">
        <f>1+A197</f>
        <v>1</v>
      </c>
      <c r="B198" s="464" t="s">
        <v>0</v>
      </c>
      <c r="C198" s="516" t="s">
        <v>920</v>
      </c>
      <c r="D198" s="476"/>
      <c r="E198" s="1279"/>
      <c r="AS198" s="1279"/>
      <c r="BB198" s="467"/>
      <c r="BC198" s="467"/>
      <c r="BD198" s="444"/>
      <c r="BF198" s="336"/>
    </row>
    <row r="199" spans="1:58" outlineLevel="1" x14ac:dyDescent="0.35">
      <c r="A199" s="336">
        <f t="shared" ref="A199:A254" si="74">1+A198</f>
        <v>2</v>
      </c>
      <c r="B199" s="464" t="s">
        <v>48</v>
      </c>
      <c r="C199" s="516" t="s">
        <v>920</v>
      </c>
      <c r="D199" s="467">
        <f>+BC138</f>
        <v>554377915.72602034</v>
      </c>
      <c r="E199" s="1305">
        <f>'Common Adj'!$K$37</f>
        <v>-3604266</v>
      </c>
      <c r="F199" s="468"/>
      <c r="G199" s="468"/>
      <c r="H199" s="468"/>
      <c r="I199" s="468"/>
      <c r="J199" s="468"/>
      <c r="K199" s="468"/>
      <c r="L199" s="468"/>
      <c r="M199" s="468"/>
      <c r="N199" s="468"/>
      <c r="O199" s="468"/>
      <c r="P199" s="468"/>
      <c r="Q199" s="468"/>
      <c r="R199" s="468"/>
      <c r="S199" s="468"/>
      <c r="T199" s="468"/>
      <c r="U199" s="468"/>
      <c r="V199" s="468"/>
      <c r="W199" s="468"/>
      <c r="X199" s="468"/>
      <c r="Y199" s="468"/>
      <c r="Z199" s="468"/>
      <c r="AA199" s="468"/>
      <c r="AB199" s="468"/>
      <c r="AC199" s="468"/>
      <c r="AD199" s="468"/>
      <c r="AE199" s="468"/>
      <c r="AF199" s="468"/>
      <c r="AG199" s="468"/>
      <c r="AH199" s="468"/>
      <c r="AI199" s="468"/>
      <c r="AJ199" s="468"/>
      <c r="AK199" s="468"/>
      <c r="AL199" s="468"/>
      <c r="AM199" s="468"/>
      <c r="AN199" s="468"/>
      <c r="AO199" s="468"/>
      <c r="AP199" s="468"/>
      <c r="AQ199" s="468"/>
      <c r="AR199" s="468"/>
      <c r="AS199" s="1305"/>
      <c r="AT199" s="468"/>
      <c r="AU199" s="468"/>
      <c r="AV199" s="468"/>
      <c r="AW199" s="468"/>
      <c r="AX199" s="468"/>
      <c r="AY199" s="468"/>
      <c r="AZ199" s="468"/>
      <c r="BB199" s="467">
        <f>SUM(E199:AZ199)</f>
        <v>-3604266</v>
      </c>
      <c r="BC199" s="467">
        <f>+BB199+D199</f>
        <v>550773649.72602034</v>
      </c>
      <c r="BD199" s="444"/>
      <c r="BE199" s="173"/>
      <c r="BF199" s="336"/>
    </row>
    <row r="200" spans="1:58" outlineLevel="1" x14ac:dyDescent="0.35">
      <c r="A200" s="336">
        <f t="shared" si="74"/>
        <v>3</v>
      </c>
      <c r="B200" s="464" t="s">
        <v>49</v>
      </c>
      <c r="C200" s="516" t="s">
        <v>920</v>
      </c>
      <c r="D200" s="470">
        <f>+BC139</f>
        <v>0</v>
      </c>
      <c r="E200" s="1306"/>
      <c r="F200" s="471"/>
      <c r="G200" s="471"/>
      <c r="H200" s="471"/>
      <c r="I200" s="471"/>
      <c r="J200" s="471"/>
      <c r="K200" s="471"/>
      <c r="L200" s="471"/>
      <c r="M200" s="471"/>
      <c r="N200" s="471"/>
      <c r="O200" s="471"/>
      <c r="P200" s="471"/>
      <c r="Q200" s="471"/>
      <c r="R200" s="471"/>
      <c r="S200" s="471"/>
      <c r="T200" s="471"/>
      <c r="U200" s="471"/>
      <c r="V200" s="471"/>
      <c r="W200" s="471"/>
      <c r="X200" s="471"/>
      <c r="Y200" s="471"/>
      <c r="Z200" s="471"/>
      <c r="AA200" s="471"/>
      <c r="AB200" s="471"/>
      <c r="AC200" s="471"/>
      <c r="AD200" s="471"/>
      <c r="AE200" s="471"/>
      <c r="AF200" s="471"/>
      <c r="AG200" s="471"/>
      <c r="AH200" s="471"/>
      <c r="AI200" s="471"/>
      <c r="AJ200" s="471"/>
      <c r="AK200" s="471"/>
      <c r="AL200" s="471"/>
      <c r="AM200" s="471"/>
      <c r="AN200" s="471"/>
      <c r="AO200" s="471"/>
      <c r="AP200" s="471"/>
      <c r="AQ200" s="471"/>
      <c r="AR200" s="471"/>
      <c r="AS200" s="1306"/>
      <c r="AT200" s="471"/>
      <c r="AU200" s="471"/>
      <c r="AV200" s="471"/>
      <c r="AW200" s="471"/>
      <c r="AX200" s="471"/>
      <c r="AY200" s="471"/>
      <c r="AZ200" s="471"/>
      <c r="BB200" s="470">
        <f>SUM(E200:AZ200)</f>
        <v>0</v>
      </c>
      <c r="BC200" s="470">
        <f>+BB200+D200</f>
        <v>0</v>
      </c>
      <c r="BD200" s="444"/>
      <c r="BE200" s="173"/>
      <c r="BF200" s="336"/>
    </row>
    <row r="201" spans="1:58" outlineLevel="1" x14ac:dyDescent="0.35">
      <c r="A201" s="336">
        <f t="shared" si="74"/>
        <v>4</v>
      </c>
      <c r="B201" s="464" t="s">
        <v>50</v>
      </c>
      <c r="C201" s="516" t="s">
        <v>920</v>
      </c>
      <c r="D201" s="470">
        <f>+BC140</f>
        <v>0</v>
      </c>
      <c r="E201" s="1306"/>
      <c r="F201" s="471"/>
      <c r="G201" s="471"/>
      <c r="H201" s="471"/>
      <c r="I201" s="471"/>
      <c r="J201" s="471"/>
      <c r="K201" s="471"/>
      <c r="L201" s="471"/>
      <c r="M201" s="471"/>
      <c r="N201" s="471"/>
      <c r="O201" s="471"/>
      <c r="P201" s="471"/>
      <c r="Q201" s="471"/>
      <c r="R201" s="471"/>
      <c r="S201" s="471"/>
      <c r="T201" s="471"/>
      <c r="U201" s="471"/>
      <c r="V201" s="471"/>
      <c r="W201" s="471"/>
      <c r="X201" s="471"/>
      <c r="Y201" s="471"/>
      <c r="Z201" s="471"/>
      <c r="AA201" s="471"/>
      <c r="AB201" s="471"/>
      <c r="AC201" s="471"/>
      <c r="AD201" s="471"/>
      <c r="AE201" s="471"/>
      <c r="AF201" s="471"/>
      <c r="AG201" s="471"/>
      <c r="AH201" s="471"/>
      <c r="AI201" s="471"/>
      <c r="AJ201" s="471"/>
      <c r="AK201" s="471"/>
      <c r="AL201" s="471"/>
      <c r="AM201" s="471"/>
      <c r="AN201" s="471"/>
      <c r="AO201" s="471"/>
      <c r="AP201" s="471"/>
      <c r="AQ201" s="471"/>
      <c r="AR201" s="471"/>
      <c r="AS201" s="1306"/>
      <c r="AT201" s="471"/>
      <c r="AU201" s="471"/>
      <c r="AV201" s="471"/>
      <c r="AW201" s="471"/>
      <c r="AX201" s="471"/>
      <c r="AY201" s="471"/>
      <c r="AZ201" s="471"/>
      <c r="BB201" s="470">
        <f>SUM(E201:AZ201)</f>
        <v>0</v>
      </c>
      <c r="BC201" s="470">
        <f>+BB201+D201</f>
        <v>0</v>
      </c>
      <c r="BD201" s="444"/>
      <c r="BE201" s="173"/>
      <c r="BF201" s="336"/>
    </row>
    <row r="202" spans="1:58" outlineLevel="1" x14ac:dyDescent="0.35">
      <c r="A202" s="336">
        <f t="shared" si="74"/>
        <v>5</v>
      </c>
      <c r="B202" s="464" t="s">
        <v>51</v>
      </c>
      <c r="C202" s="516" t="s">
        <v>920</v>
      </c>
      <c r="D202" s="470">
        <f>+BC141</f>
        <v>-604789.78244638466</v>
      </c>
      <c r="E202" s="1306"/>
      <c r="F202" s="471"/>
      <c r="G202" s="471"/>
      <c r="H202" s="471"/>
      <c r="I202" s="471"/>
      <c r="J202" s="471"/>
      <c r="K202" s="471"/>
      <c r="L202" s="471"/>
      <c r="M202" s="471"/>
      <c r="N202" s="471"/>
      <c r="O202" s="471"/>
      <c r="P202" s="471"/>
      <c r="Q202" s="471"/>
      <c r="R202" s="471"/>
      <c r="S202" s="471"/>
      <c r="T202" s="471"/>
      <c r="U202" s="471"/>
      <c r="V202" s="471"/>
      <c r="W202" s="471"/>
      <c r="X202" s="471"/>
      <c r="Y202" s="471"/>
      <c r="Z202" s="471"/>
      <c r="AA202" s="471"/>
      <c r="AB202" s="471"/>
      <c r="AC202" s="471"/>
      <c r="AD202" s="471"/>
      <c r="AE202" s="471"/>
      <c r="AF202" s="471"/>
      <c r="AG202" s="471"/>
      <c r="AH202" s="471"/>
      <c r="AI202" s="471"/>
      <c r="AJ202" s="471"/>
      <c r="AK202" s="471"/>
      <c r="AL202" s="471"/>
      <c r="AM202" s="471"/>
      <c r="AN202" s="471"/>
      <c r="AO202" s="471"/>
      <c r="AP202" s="471">
        <f>-'Gas Adj'!BM39</f>
        <v>0</v>
      </c>
      <c r="AQ202" s="471">
        <f>-'Gas Adj'!CE33-'Gas Adj'!CE36</f>
        <v>0</v>
      </c>
      <c r="AR202" s="471"/>
      <c r="AS202" s="1306"/>
      <c r="AT202" s="471"/>
      <c r="AU202" s="471"/>
      <c r="AV202" s="471"/>
      <c r="AW202" s="471"/>
      <c r="AX202" s="471"/>
      <c r="AY202" s="471"/>
      <c r="AZ202" s="471"/>
      <c r="BB202" s="470">
        <f>SUM(E202:AZ202)</f>
        <v>0</v>
      </c>
      <c r="BC202" s="470">
        <f>+BB202+D202</f>
        <v>-604789.78244638466</v>
      </c>
      <c r="BD202" s="444"/>
      <c r="BE202" s="173"/>
      <c r="BF202" s="336"/>
    </row>
    <row r="203" spans="1:58" outlineLevel="1" x14ac:dyDescent="0.35">
      <c r="A203" s="336">
        <f t="shared" si="74"/>
        <v>6</v>
      </c>
      <c r="B203" s="464" t="s">
        <v>58</v>
      </c>
      <c r="C203" s="516" t="s">
        <v>920</v>
      </c>
      <c r="D203" s="473">
        <f>SUM(D199:D202)</f>
        <v>553773125.94357395</v>
      </c>
      <c r="E203" s="1307">
        <f t="shared" ref="E203:AS203" si="75">SUM(E199:E202)</f>
        <v>-3604266</v>
      </c>
      <c r="F203" s="474">
        <f t="shared" si="75"/>
        <v>0</v>
      </c>
      <c r="G203" s="474">
        <f t="shared" si="75"/>
        <v>0</v>
      </c>
      <c r="H203" s="474">
        <f t="shared" si="75"/>
        <v>0</v>
      </c>
      <c r="I203" s="474">
        <f t="shared" si="75"/>
        <v>0</v>
      </c>
      <c r="J203" s="474">
        <f t="shared" si="75"/>
        <v>0</v>
      </c>
      <c r="K203" s="474">
        <f t="shared" si="75"/>
        <v>0</v>
      </c>
      <c r="L203" s="474">
        <f t="shared" si="75"/>
        <v>0</v>
      </c>
      <c r="M203" s="474">
        <f t="shared" si="75"/>
        <v>0</v>
      </c>
      <c r="N203" s="474">
        <f t="shared" si="75"/>
        <v>0</v>
      </c>
      <c r="O203" s="474">
        <f t="shared" si="75"/>
        <v>0</v>
      </c>
      <c r="P203" s="474">
        <f t="shared" si="75"/>
        <v>0</v>
      </c>
      <c r="Q203" s="474">
        <f t="shared" si="75"/>
        <v>0</v>
      </c>
      <c r="R203" s="474">
        <f t="shared" si="75"/>
        <v>0</v>
      </c>
      <c r="S203" s="474">
        <f t="shared" si="75"/>
        <v>0</v>
      </c>
      <c r="T203" s="474">
        <f t="shared" si="75"/>
        <v>0</v>
      </c>
      <c r="U203" s="474">
        <f t="shared" si="75"/>
        <v>0</v>
      </c>
      <c r="V203" s="474">
        <f t="shared" si="75"/>
        <v>0</v>
      </c>
      <c r="W203" s="474">
        <f t="shared" si="75"/>
        <v>0</v>
      </c>
      <c r="X203" s="474">
        <f t="shared" si="75"/>
        <v>0</v>
      </c>
      <c r="Y203" s="474">
        <f t="shared" si="75"/>
        <v>0</v>
      </c>
      <c r="Z203" s="474">
        <f t="shared" si="75"/>
        <v>0</v>
      </c>
      <c r="AA203" s="474">
        <f t="shared" si="75"/>
        <v>0</v>
      </c>
      <c r="AB203" s="474">
        <f t="shared" si="75"/>
        <v>0</v>
      </c>
      <c r="AC203" s="474">
        <f t="shared" si="75"/>
        <v>0</v>
      </c>
      <c r="AD203" s="474">
        <f t="shared" si="75"/>
        <v>0</v>
      </c>
      <c r="AE203" s="474">
        <f t="shared" si="75"/>
        <v>0</v>
      </c>
      <c r="AF203" s="474">
        <f t="shared" si="75"/>
        <v>0</v>
      </c>
      <c r="AG203" s="474">
        <f t="shared" si="75"/>
        <v>0</v>
      </c>
      <c r="AH203" s="474">
        <f t="shared" si="75"/>
        <v>0</v>
      </c>
      <c r="AI203" s="474">
        <f t="shared" si="75"/>
        <v>0</v>
      </c>
      <c r="AJ203" s="474">
        <f t="shared" si="75"/>
        <v>0</v>
      </c>
      <c r="AK203" s="474">
        <f t="shared" si="75"/>
        <v>0</v>
      </c>
      <c r="AL203" s="474">
        <f t="shared" si="75"/>
        <v>0</v>
      </c>
      <c r="AM203" s="474">
        <f t="shared" si="75"/>
        <v>0</v>
      </c>
      <c r="AN203" s="474">
        <f t="shared" si="75"/>
        <v>0</v>
      </c>
      <c r="AO203" s="474">
        <f t="shared" si="75"/>
        <v>0</v>
      </c>
      <c r="AP203" s="474">
        <f t="shared" si="75"/>
        <v>0</v>
      </c>
      <c r="AQ203" s="474">
        <f t="shared" si="75"/>
        <v>0</v>
      </c>
      <c r="AR203" s="474">
        <f t="shared" si="75"/>
        <v>0</v>
      </c>
      <c r="AS203" s="1307">
        <f t="shared" si="75"/>
        <v>0</v>
      </c>
      <c r="AT203" s="474"/>
      <c r="AU203" s="474"/>
      <c r="AV203" s="474"/>
      <c r="AW203" s="474"/>
      <c r="AX203" s="474"/>
      <c r="AY203" s="474"/>
      <c r="AZ203" s="474"/>
      <c r="BB203" s="473">
        <f>SUM(BB199:BB202)</f>
        <v>-3604266</v>
      </c>
      <c r="BC203" s="473">
        <f>SUM(BC199:BC202)</f>
        <v>550168859.94357395</v>
      </c>
      <c r="BD203" s="444"/>
      <c r="BE203" s="173"/>
      <c r="BF203" s="336"/>
    </row>
    <row r="204" spans="1:58" outlineLevel="1" x14ac:dyDescent="0.35">
      <c r="A204" s="336">
        <f t="shared" si="74"/>
        <v>7</v>
      </c>
      <c r="B204" s="475"/>
      <c r="C204" s="516" t="s">
        <v>920</v>
      </c>
      <c r="D204" s="470"/>
      <c r="E204" s="1306"/>
      <c r="F204" s="471"/>
      <c r="G204" s="471"/>
      <c r="H204" s="471"/>
      <c r="I204" s="471"/>
      <c r="J204" s="471"/>
      <c r="K204" s="471"/>
      <c r="L204" s="471"/>
      <c r="M204" s="471"/>
      <c r="N204" s="471"/>
      <c r="O204" s="471"/>
      <c r="P204" s="471"/>
      <c r="Q204" s="471"/>
      <c r="R204" s="471"/>
      <c r="S204" s="471"/>
      <c r="T204" s="471"/>
      <c r="U204" s="471"/>
      <c r="V204" s="471"/>
      <c r="W204" s="471"/>
      <c r="X204" s="471"/>
      <c r="Y204" s="471"/>
      <c r="Z204" s="471"/>
      <c r="AA204" s="471"/>
      <c r="AB204" s="471"/>
      <c r="AC204" s="471"/>
      <c r="AD204" s="471"/>
      <c r="AE204" s="471"/>
      <c r="AF204" s="471"/>
      <c r="AG204" s="471"/>
      <c r="AH204" s="471"/>
      <c r="AI204" s="471"/>
      <c r="AJ204" s="471"/>
      <c r="AK204" s="471"/>
      <c r="AL204" s="471"/>
      <c r="AM204" s="471"/>
      <c r="AN204" s="471"/>
      <c r="AO204" s="471"/>
      <c r="AP204" s="471"/>
      <c r="AQ204" s="471"/>
      <c r="AR204" s="471"/>
      <c r="AS204" s="1306"/>
      <c r="AT204" s="471"/>
      <c r="AU204" s="471"/>
      <c r="AV204" s="471"/>
      <c r="AW204" s="471"/>
      <c r="AX204" s="471"/>
      <c r="AY204" s="471"/>
      <c r="AZ204" s="471"/>
      <c r="BB204" s="470"/>
      <c r="BC204" s="470"/>
      <c r="BD204" s="444"/>
      <c r="BE204" s="173"/>
      <c r="BF204" s="336"/>
    </row>
    <row r="205" spans="1:58" outlineLevel="1" x14ac:dyDescent="0.35">
      <c r="A205" s="336">
        <f t="shared" si="74"/>
        <v>8</v>
      </c>
      <c r="B205" s="464" t="s">
        <v>52</v>
      </c>
      <c r="C205" s="516" t="s">
        <v>920</v>
      </c>
      <c r="D205" s="466"/>
      <c r="E205" s="1308"/>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c r="AN205" s="341"/>
      <c r="AO205" s="341"/>
      <c r="AP205" s="341"/>
      <c r="AQ205" s="341"/>
      <c r="AR205" s="341"/>
      <c r="AS205" s="1308"/>
      <c r="AT205" s="341"/>
      <c r="AU205" s="341"/>
      <c r="AV205" s="341"/>
      <c r="AW205" s="341"/>
      <c r="AX205" s="341"/>
      <c r="AY205" s="341"/>
      <c r="AZ205" s="341"/>
      <c r="BB205" s="466"/>
      <c r="BC205" s="466"/>
      <c r="BD205" s="444"/>
      <c r="BE205" s="173"/>
      <c r="BF205" s="336"/>
    </row>
    <row r="206" spans="1:58" outlineLevel="1" x14ac:dyDescent="0.35">
      <c r="A206" s="336">
        <f t="shared" si="74"/>
        <v>9</v>
      </c>
      <c r="C206" s="516" t="s">
        <v>920</v>
      </c>
      <c r="D206" s="466"/>
      <c r="E206" s="1308"/>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1"/>
      <c r="AN206" s="341"/>
      <c r="AO206" s="341"/>
      <c r="AP206" s="341"/>
      <c r="AQ206" s="341"/>
      <c r="AR206" s="341"/>
      <c r="AS206" s="1308"/>
      <c r="AT206" s="341"/>
      <c r="AU206" s="341"/>
      <c r="AV206" s="341"/>
      <c r="AW206" s="341"/>
      <c r="AX206" s="341"/>
      <c r="AY206" s="341"/>
      <c r="AZ206" s="341"/>
      <c r="BB206" s="466"/>
      <c r="BC206" s="466"/>
      <c r="BD206" s="444"/>
      <c r="BE206" s="173"/>
      <c r="BF206" s="336"/>
    </row>
    <row r="207" spans="1:58" outlineLevel="1" x14ac:dyDescent="0.35">
      <c r="A207" s="336">
        <f t="shared" si="74"/>
        <v>10</v>
      </c>
      <c r="B207" s="464" t="s">
        <v>53</v>
      </c>
      <c r="C207" s="516" t="s">
        <v>920</v>
      </c>
      <c r="D207" s="466"/>
      <c r="E207" s="1308"/>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c r="AN207" s="341"/>
      <c r="AO207" s="341"/>
      <c r="AP207" s="341"/>
      <c r="AQ207" s="341"/>
      <c r="AR207" s="341"/>
      <c r="AS207" s="1308"/>
      <c r="AT207" s="341"/>
      <c r="AU207" s="341"/>
      <c r="AV207" s="341"/>
      <c r="AW207" s="341"/>
      <c r="AX207" s="341"/>
      <c r="AY207" s="341"/>
      <c r="AZ207" s="341"/>
      <c r="BB207" s="466"/>
      <c r="BC207" s="466"/>
      <c r="BD207" s="444"/>
      <c r="BE207" s="173"/>
      <c r="BF207" s="336"/>
    </row>
    <row r="208" spans="1:58" outlineLevel="1" x14ac:dyDescent="0.35">
      <c r="A208" s="336">
        <f t="shared" si="74"/>
        <v>11</v>
      </c>
      <c r="B208" s="464" t="s">
        <v>54</v>
      </c>
      <c r="C208" s="516" t="s">
        <v>920</v>
      </c>
      <c r="D208" s="476">
        <f>+BC147</f>
        <v>0</v>
      </c>
      <c r="E208" s="1309"/>
      <c r="F208" s="420"/>
      <c r="G208" s="420"/>
      <c r="H208" s="420"/>
      <c r="I208" s="420"/>
      <c r="J208" s="420"/>
      <c r="K208" s="420"/>
      <c r="L208" s="420"/>
      <c r="M208" s="420"/>
      <c r="N208" s="420"/>
      <c r="O208" s="420"/>
      <c r="P208" s="420"/>
      <c r="Q208" s="420"/>
      <c r="R208" s="420"/>
      <c r="S208" s="420"/>
      <c r="T208" s="420"/>
      <c r="U208" s="420"/>
      <c r="V208" s="420"/>
      <c r="W208" s="420"/>
      <c r="X208" s="420"/>
      <c r="Y208" s="420"/>
      <c r="Z208" s="420"/>
      <c r="AA208" s="420"/>
      <c r="AB208" s="420"/>
      <c r="AC208" s="420"/>
      <c r="AD208" s="420"/>
      <c r="AE208" s="420"/>
      <c r="AF208" s="420"/>
      <c r="AG208" s="420"/>
      <c r="AH208" s="420"/>
      <c r="AI208" s="420"/>
      <c r="AJ208" s="420"/>
      <c r="AK208" s="471"/>
      <c r="AL208" s="471"/>
      <c r="AM208" s="420"/>
      <c r="AN208" s="471"/>
      <c r="AO208" s="471"/>
      <c r="AP208" s="420"/>
      <c r="AQ208" s="420"/>
      <c r="AR208" s="420"/>
      <c r="AS208" s="1309"/>
      <c r="AT208" s="420"/>
      <c r="AU208" s="420"/>
      <c r="AV208" s="420"/>
      <c r="AW208" s="420"/>
      <c r="AX208" s="420"/>
      <c r="AY208" s="420"/>
      <c r="AZ208" s="420"/>
      <c r="BB208" s="476">
        <f>SUM(E208:AZ208)</f>
        <v>0</v>
      </c>
      <c r="BC208" s="476">
        <f>+BB208+D208</f>
        <v>0</v>
      </c>
      <c r="BD208" s="444"/>
      <c r="BE208" s="173"/>
      <c r="BF208" s="336"/>
    </row>
    <row r="209" spans="1:58" outlineLevel="1" x14ac:dyDescent="0.35">
      <c r="A209" s="336">
        <f t="shared" si="74"/>
        <v>12</v>
      </c>
      <c r="B209" s="464" t="s">
        <v>55</v>
      </c>
      <c r="C209" s="516" t="s">
        <v>920</v>
      </c>
      <c r="D209" s="517">
        <f>+BC148</f>
        <v>0</v>
      </c>
      <c r="E209" s="1306"/>
      <c r="F209" s="471"/>
      <c r="G209" s="471"/>
      <c r="H209" s="471"/>
      <c r="I209" s="471"/>
      <c r="J209" s="471"/>
      <c r="K209" s="471"/>
      <c r="L209" s="471"/>
      <c r="M209" s="471"/>
      <c r="N209" s="471"/>
      <c r="O209" s="471"/>
      <c r="P209" s="471"/>
      <c r="Q209" s="471"/>
      <c r="R209" s="471"/>
      <c r="S209" s="471"/>
      <c r="T209" s="471"/>
      <c r="U209" s="471"/>
      <c r="V209" s="471"/>
      <c r="W209" s="471"/>
      <c r="X209" s="471"/>
      <c r="Y209" s="471"/>
      <c r="Z209" s="471"/>
      <c r="AA209" s="471"/>
      <c r="AB209" s="471"/>
      <c r="AC209" s="471"/>
      <c r="AD209" s="471"/>
      <c r="AE209" s="471"/>
      <c r="AF209" s="471"/>
      <c r="AG209" s="471"/>
      <c r="AH209" s="471"/>
      <c r="AI209" s="471"/>
      <c r="AJ209" s="471"/>
      <c r="AK209" s="471"/>
      <c r="AL209" s="471"/>
      <c r="AM209" s="471"/>
      <c r="AN209" s="471"/>
      <c r="AO209" s="471"/>
      <c r="AP209" s="471"/>
      <c r="AQ209" s="471"/>
      <c r="AR209" s="471"/>
      <c r="AS209" s="1306"/>
      <c r="AT209" s="471"/>
      <c r="AU209" s="471"/>
      <c r="AV209" s="471"/>
      <c r="AW209" s="471"/>
      <c r="AX209" s="471"/>
      <c r="AY209" s="471"/>
      <c r="AZ209" s="471"/>
      <c r="BB209" s="470">
        <f>SUM(E209:AZ209)</f>
        <v>0</v>
      </c>
      <c r="BC209" s="470">
        <f>+BB209+D209</f>
        <v>0</v>
      </c>
      <c r="BD209" s="444"/>
      <c r="BE209" s="173"/>
      <c r="BF209" s="336"/>
    </row>
    <row r="210" spans="1:58" outlineLevel="1" x14ac:dyDescent="0.35">
      <c r="A210" s="336">
        <f t="shared" si="74"/>
        <v>13</v>
      </c>
      <c r="B210" s="464" t="s">
        <v>56</v>
      </c>
      <c r="C210" s="516" t="s">
        <v>920</v>
      </c>
      <c r="D210" s="470">
        <f>+BC149</f>
        <v>0</v>
      </c>
      <c r="E210" s="1306"/>
      <c r="F210" s="471"/>
      <c r="G210" s="471"/>
      <c r="H210" s="471"/>
      <c r="I210" s="471"/>
      <c r="J210" s="471"/>
      <c r="K210" s="471"/>
      <c r="L210" s="471"/>
      <c r="M210" s="471"/>
      <c r="N210" s="471"/>
      <c r="O210" s="471"/>
      <c r="P210" s="471"/>
      <c r="Q210" s="471"/>
      <c r="R210" s="471"/>
      <c r="S210" s="471"/>
      <c r="T210" s="471"/>
      <c r="U210" s="471"/>
      <c r="V210" s="471"/>
      <c r="W210" s="471"/>
      <c r="X210" s="471"/>
      <c r="Y210" s="471"/>
      <c r="Z210" s="471"/>
      <c r="AA210" s="471"/>
      <c r="AB210" s="471"/>
      <c r="AC210" s="471"/>
      <c r="AD210" s="471"/>
      <c r="AE210" s="471"/>
      <c r="AF210" s="471"/>
      <c r="AG210" s="471"/>
      <c r="AH210" s="471"/>
      <c r="AI210" s="471"/>
      <c r="AJ210" s="471"/>
      <c r="AK210" s="471"/>
      <c r="AL210" s="471"/>
      <c r="AM210" s="471"/>
      <c r="AN210" s="471"/>
      <c r="AO210" s="471"/>
      <c r="AP210" s="471"/>
      <c r="AQ210" s="471"/>
      <c r="AR210" s="471"/>
      <c r="AS210" s="1306"/>
      <c r="AT210" s="471"/>
      <c r="AU210" s="471"/>
      <c r="AV210" s="471"/>
      <c r="AW210" s="471"/>
      <c r="AX210" s="471"/>
      <c r="AY210" s="471"/>
      <c r="AZ210" s="471"/>
      <c r="BB210" s="470">
        <f>SUM(E210:AZ210)</f>
        <v>0</v>
      </c>
      <c r="BC210" s="470">
        <f>+BB210+D210</f>
        <v>0</v>
      </c>
      <c r="BD210" s="444"/>
      <c r="BE210" s="173"/>
      <c r="BF210" s="336"/>
    </row>
    <row r="211" spans="1:58" outlineLevel="1" x14ac:dyDescent="0.35">
      <c r="A211" s="336">
        <f t="shared" si="74"/>
        <v>14</v>
      </c>
      <c r="B211" s="329" t="s">
        <v>57</v>
      </c>
      <c r="C211" s="516" t="s">
        <v>920</v>
      </c>
      <c r="D211" s="470">
        <f>+BC150</f>
        <v>0</v>
      </c>
      <c r="E211" s="1306"/>
      <c r="F211" s="471"/>
      <c r="G211" s="471"/>
      <c r="H211" s="471"/>
      <c r="I211" s="471"/>
      <c r="J211" s="471"/>
      <c r="K211" s="471"/>
      <c r="L211" s="471"/>
      <c r="M211" s="471"/>
      <c r="N211" s="471"/>
      <c r="O211" s="471"/>
      <c r="P211" s="471"/>
      <c r="Q211" s="471"/>
      <c r="R211" s="471"/>
      <c r="S211" s="471"/>
      <c r="T211" s="471"/>
      <c r="U211" s="471"/>
      <c r="V211" s="471"/>
      <c r="W211" s="471"/>
      <c r="X211" s="471"/>
      <c r="Y211" s="471"/>
      <c r="Z211" s="471"/>
      <c r="AA211" s="471"/>
      <c r="AB211" s="471"/>
      <c r="AC211" s="471"/>
      <c r="AD211" s="471"/>
      <c r="AE211" s="471"/>
      <c r="AF211" s="471"/>
      <c r="AG211" s="471"/>
      <c r="AH211" s="471"/>
      <c r="AI211" s="471"/>
      <c r="AJ211" s="471"/>
      <c r="AK211" s="471"/>
      <c r="AL211" s="471"/>
      <c r="AM211" s="471"/>
      <c r="AN211" s="471"/>
      <c r="AO211" s="471"/>
      <c r="AP211" s="471"/>
      <c r="AQ211" s="471"/>
      <c r="AR211" s="471"/>
      <c r="AS211" s="1306"/>
      <c r="AT211" s="471"/>
      <c r="AU211" s="471"/>
      <c r="AV211" s="471"/>
      <c r="AW211" s="471"/>
      <c r="AX211" s="471"/>
      <c r="AY211" s="471"/>
      <c r="AZ211" s="471"/>
      <c r="BB211" s="470">
        <f>SUM(E211:AZ211)</f>
        <v>0</v>
      </c>
      <c r="BC211" s="470">
        <f>+BB211+D211</f>
        <v>0</v>
      </c>
      <c r="BD211" s="444"/>
      <c r="BE211" s="173"/>
      <c r="BF211" s="336"/>
    </row>
    <row r="212" spans="1:58" outlineLevel="1" x14ac:dyDescent="0.35">
      <c r="A212" s="336">
        <f t="shared" si="74"/>
        <v>15</v>
      </c>
      <c r="B212" s="464" t="s">
        <v>1</v>
      </c>
      <c r="C212" s="516" t="s">
        <v>920</v>
      </c>
      <c r="D212" s="477">
        <f>SUM(D207:D211)</f>
        <v>0</v>
      </c>
      <c r="E212" s="1310">
        <f t="shared" ref="E212:AS212" si="76">SUM(E207:E211)</f>
        <v>0</v>
      </c>
      <c r="F212" s="478">
        <f t="shared" si="76"/>
        <v>0</v>
      </c>
      <c r="G212" s="478">
        <f t="shared" si="76"/>
        <v>0</v>
      </c>
      <c r="H212" s="478">
        <f t="shared" si="76"/>
        <v>0</v>
      </c>
      <c r="I212" s="478">
        <f t="shared" si="76"/>
        <v>0</v>
      </c>
      <c r="J212" s="478">
        <f t="shared" si="76"/>
        <v>0</v>
      </c>
      <c r="K212" s="478">
        <f t="shared" si="76"/>
        <v>0</v>
      </c>
      <c r="L212" s="478">
        <f t="shared" si="76"/>
        <v>0</v>
      </c>
      <c r="M212" s="478">
        <f t="shared" si="76"/>
        <v>0</v>
      </c>
      <c r="N212" s="478">
        <f t="shared" si="76"/>
        <v>0</v>
      </c>
      <c r="O212" s="478">
        <f t="shared" si="76"/>
        <v>0</v>
      </c>
      <c r="P212" s="478">
        <f t="shared" si="76"/>
        <v>0</v>
      </c>
      <c r="Q212" s="478">
        <f t="shared" si="76"/>
        <v>0</v>
      </c>
      <c r="R212" s="478">
        <f t="shared" si="76"/>
        <v>0</v>
      </c>
      <c r="S212" s="478">
        <f t="shared" si="76"/>
        <v>0</v>
      </c>
      <c r="T212" s="478">
        <f t="shared" si="76"/>
        <v>0</v>
      </c>
      <c r="U212" s="478">
        <f t="shared" si="76"/>
        <v>0</v>
      </c>
      <c r="V212" s="478">
        <f t="shared" si="76"/>
        <v>0</v>
      </c>
      <c r="W212" s="478">
        <f t="shared" si="76"/>
        <v>0</v>
      </c>
      <c r="X212" s="478">
        <f t="shared" si="76"/>
        <v>0</v>
      </c>
      <c r="Y212" s="478">
        <f t="shared" si="76"/>
        <v>0</v>
      </c>
      <c r="Z212" s="478">
        <f t="shared" si="76"/>
        <v>0</v>
      </c>
      <c r="AA212" s="478">
        <f t="shared" si="76"/>
        <v>0</v>
      </c>
      <c r="AB212" s="478">
        <f t="shared" si="76"/>
        <v>0</v>
      </c>
      <c r="AC212" s="478">
        <f t="shared" si="76"/>
        <v>0</v>
      </c>
      <c r="AD212" s="478">
        <f t="shared" si="76"/>
        <v>0</v>
      </c>
      <c r="AE212" s="478">
        <f t="shared" si="76"/>
        <v>0</v>
      </c>
      <c r="AF212" s="478">
        <f t="shared" si="76"/>
        <v>0</v>
      </c>
      <c r="AG212" s="478">
        <f t="shared" si="76"/>
        <v>0</v>
      </c>
      <c r="AH212" s="478">
        <f t="shared" si="76"/>
        <v>0</v>
      </c>
      <c r="AI212" s="478">
        <f t="shared" si="76"/>
        <v>0</v>
      </c>
      <c r="AJ212" s="478">
        <f t="shared" si="76"/>
        <v>0</v>
      </c>
      <c r="AK212" s="478">
        <f t="shared" si="76"/>
        <v>0</v>
      </c>
      <c r="AL212" s="478">
        <f t="shared" si="76"/>
        <v>0</v>
      </c>
      <c r="AM212" s="479">
        <f t="shared" si="76"/>
        <v>0</v>
      </c>
      <c r="AN212" s="479">
        <f t="shared" si="76"/>
        <v>0</v>
      </c>
      <c r="AO212" s="479">
        <f t="shared" si="76"/>
        <v>0</v>
      </c>
      <c r="AP212" s="478">
        <f t="shared" si="76"/>
        <v>0</v>
      </c>
      <c r="AQ212" s="478">
        <f t="shared" si="76"/>
        <v>0</v>
      </c>
      <c r="AR212" s="478">
        <f t="shared" si="76"/>
        <v>0</v>
      </c>
      <c r="AS212" s="1310">
        <f t="shared" si="76"/>
        <v>0</v>
      </c>
      <c r="AT212" s="478"/>
      <c r="AU212" s="478"/>
      <c r="AV212" s="478"/>
      <c r="AW212" s="478"/>
      <c r="AX212" s="478"/>
      <c r="AY212" s="478"/>
      <c r="AZ212" s="478"/>
      <c r="BB212" s="477">
        <f>SUM(BB207:BB211)</f>
        <v>0</v>
      </c>
      <c r="BC212" s="477">
        <f>SUM(BC207:BC211)</f>
        <v>0</v>
      </c>
      <c r="BD212" s="444"/>
      <c r="BE212" s="173"/>
      <c r="BF212" s="336"/>
    </row>
    <row r="213" spans="1:58" outlineLevel="1" x14ac:dyDescent="0.35">
      <c r="A213" s="336">
        <f t="shared" si="74"/>
        <v>16</v>
      </c>
      <c r="B213" s="464"/>
      <c r="C213" s="516" t="s">
        <v>920</v>
      </c>
      <c r="D213" s="476"/>
      <c r="E213" s="1309"/>
      <c r="F213" s="420"/>
      <c r="G213" s="420"/>
      <c r="H213" s="420"/>
      <c r="I213" s="420"/>
      <c r="J213" s="420"/>
      <c r="K213" s="420"/>
      <c r="L213" s="420"/>
      <c r="M213" s="420"/>
      <c r="N213" s="420"/>
      <c r="O213" s="420"/>
      <c r="P213" s="420"/>
      <c r="Q213" s="420"/>
      <c r="R213" s="420"/>
      <c r="S213" s="420"/>
      <c r="T213" s="420"/>
      <c r="U213" s="420"/>
      <c r="V213" s="420"/>
      <c r="W213" s="420"/>
      <c r="X213" s="420"/>
      <c r="Y213" s="420"/>
      <c r="Z213" s="420"/>
      <c r="AA213" s="420"/>
      <c r="AB213" s="420"/>
      <c r="AC213" s="420"/>
      <c r="AD213" s="420"/>
      <c r="AE213" s="420"/>
      <c r="AF213" s="420"/>
      <c r="AG213" s="420"/>
      <c r="AH213" s="420"/>
      <c r="AI213" s="420"/>
      <c r="AJ213" s="420"/>
      <c r="AK213" s="420"/>
      <c r="AL213" s="420"/>
      <c r="AM213" s="173"/>
      <c r="AN213" s="420"/>
      <c r="AO213" s="420"/>
      <c r="AP213" s="420"/>
      <c r="AQ213" s="420"/>
      <c r="AR213" s="420"/>
      <c r="AS213" s="1309"/>
      <c r="AT213" s="420"/>
      <c r="AU213" s="420"/>
      <c r="AV213" s="420"/>
      <c r="AW213" s="420"/>
      <c r="AX213" s="420"/>
      <c r="AY213" s="420"/>
      <c r="AZ213" s="420"/>
      <c r="BB213" s="476"/>
      <c r="BC213" s="476"/>
      <c r="BD213" s="444"/>
      <c r="BE213" s="173"/>
      <c r="BF213" s="336"/>
    </row>
    <row r="214" spans="1:58" outlineLevel="1" x14ac:dyDescent="0.35">
      <c r="A214" s="336">
        <f t="shared" si="74"/>
        <v>17</v>
      </c>
      <c r="B214" s="480" t="s">
        <v>59</v>
      </c>
      <c r="C214" s="516" t="s">
        <v>920</v>
      </c>
      <c r="D214" s="470">
        <f t="shared" ref="D214:D227" si="77">+BC153</f>
        <v>7876060.1918395003</v>
      </c>
      <c r="E214" s="1309"/>
      <c r="F214" s="420"/>
      <c r="G214" s="420"/>
      <c r="H214" s="420"/>
      <c r="I214" s="420"/>
      <c r="J214" s="420"/>
      <c r="K214" s="420"/>
      <c r="L214" s="420"/>
      <c r="M214" s="420"/>
      <c r="N214" s="420"/>
      <c r="O214" s="420">
        <f>'Common Adj'!GI18+'Common Adj'!GI17+'Common Adj'!GI19</f>
        <v>1785.7888880723513</v>
      </c>
      <c r="P214" s="420"/>
      <c r="Q214" s="420"/>
      <c r="R214" s="420"/>
      <c r="S214" s="420"/>
      <c r="T214" s="420"/>
      <c r="U214" s="420"/>
      <c r="V214" s="420"/>
      <c r="W214" s="420"/>
      <c r="X214" s="420"/>
      <c r="Y214" s="420"/>
      <c r="Z214" s="518">
        <f>'Common Adj'!NY$16</f>
        <v>358964.49331030715</v>
      </c>
      <c r="AA214" s="420"/>
      <c r="AB214" s="420"/>
      <c r="AC214" s="420"/>
      <c r="AD214" s="420"/>
      <c r="AE214" s="420"/>
      <c r="AF214" s="420"/>
      <c r="AG214" s="420"/>
      <c r="AH214" s="420"/>
      <c r="AI214" s="420"/>
      <c r="AJ214" s="420"/>
      <c r="AK214" s="420"/>
      <c r="AL214" s="420"/>
      <c r="AM214" s="471"/>
      <c r="AN214" s="420"/>
      <c r="AO214" s="420"/>
      <c r="AP214" s="420"/>
      <c r="AQ214" s="420"/>
      <c r="AR214" s="420"/>
      <c r="AS214" s="1309"/>
      <c r="AT214" s="420"/>
      <c r="AU214" s="420"/>
      <c r="AV214" s="420"/>
      <c r="AW214" s="420"/>
      <c r="AX214" s="420"/>
      <c r="AY214" s="420"/>
      <c r="AZ214" s="420"/>
      <c r="BB214" s="470">
        <f t="shared" ref="BB214:BB227" si="78">SUM(E214:AZ214)</f>
        <v>360750.28219837951</v>
      </c>
      <c r="BC214" s="476">
        <f t="shared" ref="BC214:BC227" si="79">+BB214+D214</f>
        <v>8236810.4740378801</v>
      </c>
      <c r="BD214" s="444"/>
      <c r="BE214" s="173"/>
      <c r="BF214" s="336"/>
    </row>
    <row r="215" spans="1:58" outlineLevel="1" x14ac:dyDescent="0.35">
      <c r="A215" s="336">
        <f t="shared" si="74"/>
        <v>18</v>
      </c>
      <c r="B215" s="464" t="s">
        <v>60</v>
      </c>
      <c r="C215" s="516" t="s">
        <v>920</v>
      </c>
      <c r="D215" s="470">
        <f t="shared" si="77"/>
        <v>0</v>
      </c>
      <c r="E215" s="1306"/>
      <c r="F215" s="471"/>
      <c r="G215" s="471"/>
      <c r="H215" s="471"/>
      <c r="I215" s="471"/>
      <c r="J215" s="471"/>
      <c r="K215" s="471"/>
      <c r="L215" s="471"/>
      <c r="M215" s="471"/>
      <c r="N215" s="471"/>
      <c r="O215" s="471">
        <f>+'Common Adj'!GI20</f>
        <v>0</v>
      </c>
      <c r="P215" s="471"/>
      <c r="Q215" s="471"/>
      <c r="R215" s="471"/>
      <c r="S215" s="471"/>
      <c r="T215" s="471"/>
      <c r="U215" s="471"/>
      <c r="V215" s="471"/>
      <c r="W215" s="471"/>
      <c r="X215" s="471"/>
      <c r="Y215" s="471"/>
      <c r="Z215" s="518">
        <f>'Common Adj'!NY$17</f>
        <v>0</v>
      </c>
      <c r="AA215" s="471"/>
      <c r="AB215" s="471"/>
      <c r="AC215" s="471"/>
      <c r="AD215" s="471"/>
      <c r="AE215" s="471"/>
      <c r="AF215" s="471"/>
      <c r="AG215" s="471"/>
      <c r="AH215" s="471"/>
      <c r="AI215" s="471"/>
      <c r="AJ215" s="471"/>
      <c r="AK215" s="471"/>
      <c r="AL215" s="471"/>
      <c r="AM215" s="471"/>
      <c r="AN215" s="471"/>
      <c r="AO215" s="471"/>
      <c r="AP215" s="471"/>
      <c r="AQ215" s="471"/>
      <c r="AR215" s="471"/>
      <c r="AS215" s="1306"/>
      <c r="AT215" s="471"/>
      <c r="AU215" s="471"/>
      <c r="AV215" s="471"/>
      <c r="AW215" s="471"/>
      <c r="AX215" s="471"/>
      <c r="AY215" s="471"/>
      <c r="AZ215" s="471"/>
      <c r="BB215" s="470">
        <f t="shared" si="78"/>
        <v>0</v>
      </c>
      <c r="BC215" s="470">
        <f t="shared" si="79"/>
        <v>0</v>
      </c>
      <c r="BD215" s="444"/>
      <c r="BE215" s="173"/>
      <c r="BF215" s="336"/>
    </row>
    <row r="216" spans="1:58" outlineLevel="1" x14ac:dyDescent="0.35">
      <c r="A216" s="336">
        <f t="shared" si="74"/>
        <v>19</v>
      </c>
      <c r="B216" s="464" t="s">
        <v>61</v>
      </c>
      <c r="C216" s="516" t="s">
        <v>920</v>
      </c>
      <c r="D216" s="470">
        <f t="shared" si="77"/>
        <v>64491416.290939584</v>
      </c>
      <c r="E216" s="1306"/>
      <c r="F216" s="471"/>
      <c r="G216" s="471"/>
      <c r="H216" s="471"/>
      <c r="I216" s="471"/>
      <c r="J216" s="471"/>
      <c r="K216" s="471"/>
      <c r="L216" s="471"/>
      <c r="M216" s="471"/>
      <c r="N216" s="471"/>
      <c r="O216" s="471">
        <f>+'Common Adj'!GI21</f>
        <v>10668.579249151284</v>
      </c>
      <c r="P216" s="471"/>
      <c r="Q216" s="471"/>
      <c r="R216" s="471"/>
      <c r="S216" s="471"/>
      <c r="T216" s="471"/>
      <c r="U216" s="471"/>
      <c r="V216" s="471"/>
      <c r="W216" s="471"/>
      <c r="X216" s="471"/>
      <c r="Y216" s="471"/>
      <c r="Z216" s="518">
        <f>'Common Adj'!NY$18</f>
        <v>24179953.99166318</v>
      </c>
      <c r="AA216" s="471"/>
      <c r="AB216" s="471"/>
      <c r="AC216" s="471"/>
      <c r="AD216" s="471"/>
      <c r="AE216" s="471"/>
      <c r="AF216" s="471"/>
      <c r="AG216" s="471"/>
      <c r="AH216" s="471"/>
      <c r="AI216" s="471"/>
      <c r="AJ216" s="471"/>
      <c r="AK216" s="471"/>
      <c r="AL216" s="471"/>
      <c r="AM216" s="471"/>
      <c r="AN216" s="471"/>
      <c r="AO216" s="471"/>
      <c r="AP216" s="471"/>
      <c r="AQ216" s="471"/>
      <c r="AR216" s="471"/>
      <c r="AS216" s="1306"/>
      <c r="AT216" s="471"/>
      <c r="AU216" s="471"/>
      <c r="AV216" s="471"/>
      <c r="AW216" s="471"/>
      <c r="AX216" s="471"/>
      <c r="AY216" s="471"/>
      <c r="AZ216" s="471"/>
      <c r="BB216" s="470">
        <f t="shared" si="78"/>
        <v>24190622.570912331</v>
      </c>
      <c r="BC216" s="470">
        <f t="shared" si="79"/>
        <v>88682038.861851916</v>
      </c>
      <c r="BD216" s="444"/>
      <c r="BE216" s="173"/>
      <c r="BF216" s="336"/>
    </row>
    <row r="217" spans="1:58" outlineLevel="1" x14ac:dyDescent="0.35">
      <c r="A217" s="336">
        <f t="shared" si="74"/>
        <v>20</v>
      </c>
      <c r="B217" s="464" t="s">
        <v>62</v>
      </c>
      <c r="C217" s="516" t="s">
        <v>920</v>
      </c>
      <c r="D217" s="470">
        <f t="shared" si="77"/>
        <v>23502556.576534674</v>
      </c>
      <c r="E217" s="1306">
        <f>'Common Adj'!$K$64</f>
        <v>-10419.933005999999</v>
      </c>
      <c r="F217" s="471"/>
      <c r="G217" s="471"/>
      <c r="H217" s="471"/>
      <c r="I217" s="471"/>
      <c r="J217" s="471"/>
      <c r="K217" s="471"/>
      <c r="L217" s="471"/>
      <c r="M217" s="471"/>
      <c r="N217" s="471"/>
      <c r="O217" s="471">
        <f>+'Common Adj'!GI22</f>
        <v>2384.4034893848002</v>
      </c>
      <c r="P217" s="471"/>
      <c r="Q217" s="471"/>
      <c r="R217" s="471"/>
      <c r="S217" s="471"/>
      <c r="T217" s="471"/>
      <c r="U217" s="471"/>
      <c r="V217" s="471"/>
      <c r="W217" s="471"/>
      <c r="X217" s="471"/>
      <c r="Y217" s="471"/>
      <c r="Z217" s="518">
        <f>'Common Adj'!NY$19</f>
        <v>-7167323.3995859604</v>
      </c>
      <c r="AA217" s="471"/>
      <c r="AB217" s="471"/>
      <c r="AC217" s="471"/>
      <c r="AD217" s="471"/>
      <c r="AE217" s="471"/>
      <c r="AF217" s="471"/>
      <c r="AG217" s="471"/>
      <c r="AH217" s="471"/>
      <c r="AI217" s="471"/>
      <c r="AJ217" s="471"/>
      <c r="AK217" s="471"/>
      <c r="AL217" s="471"/>
      <c r="AM217" s="471"/>
      <c r="AN217" s="471"/>
      <c r="AO217" s="471"/>
      <c r="AP217" s="471"/>
      <c r="AQ217" s="471"/>
      <c r="AR217" s="471"/>
      <c r="AS217" s="1306"/>
      <c r="AT217" s="471"/>
      <c r="AU217" s="471"/>
      <c r="AV217" s="471"/>
      <c r="AW217" s="471"/>
      <c r="AX217" s="471"/>
      <c r="AY217" s="471"/>
      <c r="AZ217" s="471"/>
      <c r="BB217" s="470">
        <f t="shared" si="78"/>
        <v>-7175358.9291025754</v>
      </c>
      <c r="BC217" s="470">
        <f t="shared" si="79"/>
        <v>16327197.647432098</v>
      </c>
      <c r="BD217" s="444"/>
      <c r="BE217" s="173"/>
      <c r="BF217" s="336"/>
    </row>
    <row r="218" spans="1:58" outlineLevel="1" x14ac:dyDescent="0.35">
      <c r="A218" s="336">
        <f t="shared" si="74"/>
        <v>21</v>
      </c>
      <c r="B218" s="464" t="s">
        <v>63</v>
      </c>
      <c r="C218" s="516" t="s">
        <v>920</v>
      </c>
      <c r="D218" s="470">
        <f t="shared" si="77"/>
        <v>2401812.2597524063</v>
      </c>
      <c r="E218" s="1306"/>
      <c r="F218" s="471"/>
      <c r="G218" s="471"/>
      <c r="H218" s="471"/>
      <c r="I218" s="471"/>
      <c r="J218" s="471"/>
      <c r="K218" s="471"/>
      <c r="L218" s="471"/>
      <c r="M218" s="471"/>
      <c r="N218" s="471"/>
      <c r="O218" s="471">
        <f>+'Common Adj'!GI23+'Common Adj'!GI24</f>
        <v>411.13184936948846</v>
      </c>
      <c r="P218" s="471"/>
      <c r="Q218" s="471"/>
      <c r="R218" s="471"/>
      <c r="S218" s="471"/>
      <c r="T218" s="471"/>
      <c r="U218" s="471"/>
      <c r="V218" s="471"/>
      <c r="W218" s="471"/>
      <c r="X218" s="471"/>
      <c r="Y218" s="471"/>
      <c r="Z218" s="518">
        <f>'Common Adj'!NY$20</f>
        <v>-527180.86679653171</v>
      </c>
      <c r="AA218" s="471"/>
      <c r="AB218" s="471"/>
      <c r="AC218" s="471"/>
      <c r="AD218" s="471"/>
      <c r="AE218" s="471"/>
      <c r="AF218" s="471"/>
      <c r="AG218" s="471"/>
      <c r="AH218" s="471"/>
      <c r="AI218" s="471"/>
      <c r="AJ218" s="471"/>
      <c r="AK218" s="471"/>
      <c r="AL218" s="471"/>
      <c r="AM218" s="471"/>
      <c r="AN218" s="471"/>
      <c r="AO218" s="471"/>
      <c r="AP218" s="471"/>
      <c r="AQ218" s="471"/>
      <c r="AR218" s="471"/>
      <c r="AS218" s="1306"/>
      <c r="AT218" s="471"/>
      <c r="AU218" s="471"/>
      <c r="AV218" s="471"/>
      <c r="AW218" s="471"/>
      <c r="AX218" s="471"/>
      <c r="AY218" s="471"/>
      <c r="AZ218" s="471"/>
      <c r="BB218" s="470">
        <f t="shared" si="78"/>
        <v>-526769.73494716221</v>
      </c>
      <c r="BC218" s="470">
        <f t="shared" si="79"/>
        <v>1875042.5248052441</v>
      </c>
      <c r="BD218" s="444"/>
      <c r="BE218" s="173"/>
      <c r="BF218" s="336"/>
    </row>
    <row r="219" spans="1:58" outlineLevel="1" x14ac:dyDescent="0.35">
      <c r="A219" s="336">
        <f t="shared" si="74"/>
        <v>22</v>
      </c>
      <c r="B219" s="464" t="s">
        <v>64</v>
      </c>
      <c r="C219" s="516" t="s">
        <v>920</v>
      </c>
      <c r="D219" s="470">
        <f t="shared" si="77"/>
        <v>0</v>
      </c>
      <c r="E219" s="1306"/>
      <c r="F219" s="471"/>
      <c r="G219" s="471"/>
      <c r="H219" s="471"/>
      <c r="I219" s="471"/>
      <c r="J219" s="471"/>
      <c r="K219" s="471"/>
      <c r="L219" s="471"/>
      <c r="M219" s="471"/>
      <c r="N219" s="471"/>
      <c r="O219" s="471"/>
      <c r="P219" s="471"/>
      <c r="Q219" s="471"/>
      <c r="R219" s="471"/>
      <c r="S219" s="471"/>
      <c r="T219" s="471"/>
      <c r="U219" s="471"/>
      <c r="V219" s="471"/>
      <c r="W219" s="471"/>
      <c r="X219" s="471"/>
      <c r="Y219" s="471"/>
      <c r="Z219" s="518">
        <f>'Common Adj'!NY$21</f>
        <v>0</v>
      </c>
      <c r="AA219" s="471"/>
      <c r="AB219" s="471"/>
      <c r="AC219" s="471"/>
      <c r="AD219" s="471"/>
      <c r="AE219" s="471"/>
      <c r="AF219" s="471"/>
      <c r="AG219" s="471"/>
      <c r="AH219" s="471"/>
      <c r="AI219" s="471"/>
      <c r="AJ219" s="471"/>
      <c r="AK219" s="471"/>
      <c r="AL219" s="471"/>
      <c r="AM219" s="471"/>
      <c r="AN219" s="471"/>
      <c r="AO219" s="471"/>
      <c r="AP219" s="471"/>
      <c r="AQ219" s="471"/>
      <c r="AR219" s="471"/>
      <c r="AS219" s="1306"/>
      <c r="AT219" s="471"/>
      <c r="AU219" s="471"/>
      <c r="AV219" s="471"/>
      <c r="AW219" s="471"/>
      <c r="AX219" s="471"/>
      <c r="AY219" s="471"/>
      <c r="AZ219" s="471"/>
      <c r="BB219" s="470">
        <f t="shared" si="78"/>
        <v>0</v>
      </c>
      <c r="BC219" s="470">
        <f t="shared" si="79"/>
        <v>0</v>
      </c>
      <c r="BD219" s="444"/>
      <c r="BE219" s="173"/>
      <c r="BF219" s="336"/>
    </row>
    <row r="220" spans="1:58" outlineLevel="1" x14ac:dyDescent="0.35">
      <c r="A220" s="336">
        <f t="shared" si="74"/>
        <v>23</v>
      </c>
      <c r="B220" s="464" t="s">
        <v>65</v>
      </c>
      <c r="C220" s="516" t="s">
        <v>920</v>
      </c>
      <c r="D220" s="470">
        <f t="shared" si="77"/>
        <v>73987598.062147081</v>
      </c>
      <c r="E220" s="1306">
        <f>'Common Adj'!$K$65</f>
        <v>-14417.064</v>
      </c>
      <c r="F220" s="471"/>
      <c r="G220" s="471"/>
      <c r="H220" s="471"/>
      <c r="I220" s="471"/>
      <c r="J220" s="471"/>
      <c r="K220" s="471"/>
      <c r="L220" s="471"/>
      <c r="M220" s="471"/>
      <c r="N220" s="471"/>
      <c r="O220" s="471">
        <f>+'Common Adj'!GI25</f>
        <v>7144.4767995857401</v>
      </c>
      <c r="P220" s="471"/>
      <c r="Q220" s="471"/>
      <c r="R220" s="471"/>
      <c r="S220" s="471"/>
      <c r="T220" s="471"/>
      <c r="U220" s="471"/>
      <c r="V220" s="471"/>
      <c r="W220" s="471"/>
      <c r="X220" s="471"/>
      <c r="Y220" s="471"/>
      <c r="Z220" s="518">
        <f>'Common Adj'!NY$22</f>
        <v>-10756844.233188458</v>
      </c>
      <c r="AA220" s="471"/>
      <c r="AB220" s="471"/>
      <c r="AC220" s="471"/>
      <c r="AD220" s="471"/>
      <c r="AE220" s="471"/>
      <c r="AF220" s="471"/>
      <c r="AG220" s="471"/>
      <c r="AH220" s="471"/>
      <c r="AI220" s="471"/>
      <c r="AJ220" s="471"/>
      <c r="AK220" s="471"/>
      <c r="AL220" s="471"/>
      <c r="AM220" s="471">
        <f>'Common Adj'!TO18</f>
        <v>62000</v>
      </c>
      <c r="AN220" s="471"/>
      <c r="AO220" s="471">
        <f>'Common Adj'!WI18</f>
        <v>403758.88800190948</v>
      </c>
      <c r="AP220" s="471"/>
      <c r="AQ220" s="471"/>
      <c r="AR220" s="471"/>
      <c r="AS220" s="1306"/>
      <c r="AT220" s="471"/>
      <c r="AU220" s="471"/>
      <c r="AV220" s="471"/>
      <c r="AW220" s="471"/>
      <c r="AX220" s="471"/>
      <c r="AY220" s="471"/>
      <c r="AZ220" s="471"/>
      <c r="BB220" s="470">
        <f t="shared" si="78"/>
        <v>-10298357.932386963</v>
      </c>
      <c r="BC220" s="470">
        <f t="shared" si="79"/>
        <v>63689240.129760116</v>
      </c>
      <c r="BD220" s="444"/>
      <c r="BE220" s="173"/>
      <c r="BF220" s="336"/>
    </row>
    <row r="221" spans="1:58" outlineLevel="1" x14ac:dyDescent="0.35">
      <c r="A221" s="336">
        <f t="shared" si="74"/>
        <v>24</v>
      </c>
      <c r="B221" s="464" t="s">
        <v>66</v>
      </c>
      <c r="C221" s="516" t="s">
        <v>920</v>
      </c>
      <c r="D221" s="470">
        <f t="shared" si="77"/>
        <v>176765994.47247931</v>
      </c>
      <c r="E221" s="1308"/>
      <c r="F221" s="341"/>
      <c r="G221" s="341"/>
      <c r="H221" s="341"/>
      <c r="I221" s="341"/>
      <c r="J221" s="341"/>
      <c r="K221" s="341"/>
      <c r="L221" s="341"/>
      <c r="M221" s="341"/>
      <c r="N221" s="341"/>
      <c r="O221" s="341"/>
      <c r="P221" s="341"/>
      <c r="Q221" s="341"/>
      <c r="R221" s="341"/>
      <c r="S221" s="341"/>
      <c r="T221" s="341"/>
      <c r="U221" s="341"/>
      <c r="V221" s="341"/>
      <c r="W221" s="341"/>
      <c r="X221" s="341"/>
      <c r="Y221" s="341"/>
      <c r="Z221" s="518"/>
      <c r="AA221" s="341"/>
      <c r="AB221" s="341"/>
      <c r="AC221" s="341"/>
      <c r="AD221" s="341"/>
      <c r="AE221" s="472">
        <f>'Common Adj'!RL17+'Common Adj'!RL18</f>
        <v>70461019.660000026</v>
      </c>
      <c r="AF221" s="472">
        <f>'Common Adj'!SD16+'Common Adj'!SD17</f>
        <v>-629245.79000000108</v>
      </c>
      <c r="AG221" s="472">
        <f>'Common Adj'!$SV$16+'Common Adj'!$SV$17</f>
        <v>8204929.9781749994</v>
      </c>
      <c r="AH221" s="472">
        <f>'Common Adj'!$SV$34+'Common Adj'!$SV$35</f>
        <v>4652973.419999999</v>
      </c>
      <c r="AI221" s="472">
        <f>'Common Adj'!$SV$52+'Common Adj'!$SV$53</f>
        <v>449917.27</v>
      </c>
      <c r="AJ221" s="472">
        <f>'Common Adj'!$SV$70+'Common Adj'!$SV$71</f>
        <v>2232184.6286599999</v>
      </c>
      <c r="AK221" s="341"/>
      <c r="AL221" s="341"/>
      <c r="AM221" s="471"/>
      <c r="AN221" s="341"/>
      <c r="AO221" s="341"/>
      <c r="AP221" s="341"/>
      <c r="AQ221" s="341"/>
      <c r="AR221" s="471">
        <f>'Gas Adj'!CW25</f>
        <v>-542973.59425955813</v>
      </c>
      <c r="AS221" s="1306">
        <f>'Gas Adj'!DF25</f>
        <v>0</v>
      </c>
      <c r="AT221" s="420"/>
      <c r="AU221" s="341"/>
      <c r="AV221" s="341"/>
      <c r="AW221" s="356"/>
      <c r="AX221" s="518"/>
      <c r="AY221" s="341"/>
      <c r="AZ221" s="341"/>
      <c r="BB221" s="470">
        <f t="shared" si="78"/>
        <v>84828805.57257545</v>
      </c>
      <c r="BC221" s="470">
        <f t="shared" si="79"/>
        <v>261594800.04505476</v>
      </c>
      <c r="BD221" s="444"/>
      <c r="BE221" s="173"/>
      <c r="BF221" s="336"/>
    </row>
    <row r="222" spans="1:58" outlineLevel="1" x14ac:dyDescent="0.35">
      <c r="A222" s="336">
        <f t="shared" si="74"/>
        <v>25</v>
      </c>
      <c r="B222" s="464" t="s">
        <v>67</v>
      </c>
      <c r="C222" s="516" t="s">
        <v>920</v>
      </c>
      <c r="D222" s="470">
        <f t="shared" si="77"/>
        <v>30160635.290589862</v>
      </c>
      <c r="E222" s="1306"/>
      <c r="F222" s="471"/>
      <c r="G222" s="471"/>
      <c r="H222" s="471"/>
      <c r="I222" s="471"/>
      <c r="J222" s="471"/>
      <c r="K222" s="471"/>
      <c r="L222" s="471"/>
      <c r="M222" s="471"/>
      <c r="N222" s="471"/>
      <c r="O222" s="471"/>
      <c r="P222" s="471"/>
      <c r="Q222" s="471"/>
      <c r="R222" s="471"/>
      <c r="S222" s="471"/>
      <c r="T222" s="471"/>
      <c r="U222" s="471"/>
      <c r="V222" s="471"/>
      <c r="W222" s="471"/>
      <c r="X222" s="471"/>
      <c r="Y222" s="471"/>
      <c r="Z222" s="720"/>
      <c r="AA222" s="471"/>
      <c r="AB222" s="471"/>
      <c r="AC222" s="471"/>
      <c r="AD222" s="471"/>
      <c r="AE222" s="471">
        <f>'Common Adj'!RL19+'Common Adj'!RL20</f>
        <v>-3062806.8819949329</v>
      </c>
      <c r="AF222" s="471">
        <f>'Common Adj'!SD18+'Common Adj'!SD19</f>
        <v>0</v>
      </c>
      <c r="AG222" s="472">
        <f>'Common Adj'!$SV$18+'Common Adj'!$SV$19</f>
        <v>2452034.6808850002</v>
      </c>
      <c r="AH222" s="472">
        <f>'Common Adj'!$SV$36+'Common Adj'!$SV$37</f>
        <v>0</v>
      </c>
      <c r="AI222" s="472">
        <f>'Common Adj'!$SV$54+'Common Adj'!$SV$55</f>
        <v>0</v>
      </c>
      <c r="AJ222" s="472">
        <f>'Common Adj'!$SV$72+'Common Adj'!$SV$73</f>
        <v>6947361.4933500001</v>
      </c>
      <c r="AK222" s="471"/>
      <c r="AL222" s="471"/>
      <c r="AM222" s="471"/>
      <c r="AN222" s="471">
        <f>'Common Adj'!VT29</f>
        <v>0</v>
      </c>
      <c r="AO222" s="471"/>
      <c r="AP222" s="471"/>
      <c r="AQ222" s="471"/>
      <c r="AR222" s="471">
        <f>'Gas Adj'!CW26</f>
        <v>-117906.41138000003</v>
      </c>
      <c r="AS222" s="1306">
        <f>'Gas Adj'!DF26</f>
        <v>0</v>
      </c>
      <c r="AT222" s="471"/>
      <c r="AU222" s="471"/>
      <c r="AV222" s="471"/>
      <c r="AW222" s="471"/>
      <c r="AX222" s="471"/>
      <c r="AY222" s="471"/>
      <c r="AZ222" s="471"/>
      <c r="BB222" s="470">
        <f t="shared" si="78"/>
        <v>6218682.880860067</v>
      </c>
      <c r="BC222" s="470">
        <f t="shared" si="79"/>
        <v>36379318.171449929</v>
      </c>
      <c r="BD222" s="444"/>
      <c r="BE222" s="173"/>
      <c r="BF222" s="336"/>
    </row>
    <row r="223" spans="1:58" outlineLevel="1" x14ac:dyDescent="0.35">
      <c r="A223" s="336">
        <f t="shared" si="74"/>
        <v>26</v>
      </c>
      <c r="B223" s="480" t="s">
        <v>68</v>
      </c>
      <c r="C223" s="516" t="s">
        <v>920</v>
      </c>
      <c r="D223" s="470">
        <f t="shared" si="77"/>
        <v>0</v>
      </c>
      <c r="E223" s="1306"/>
      <c r="F223" s="471"/>
      <c r="G223" s="471"/>
      <c r="H223" s="471"/>
      <c r="I223" s="471"/>
      <c r="J223" s="471"/>
      <c r="K223" s="471"/>
      <c r="L223" s="471"/>
      <c r="M223" s="471"/>
      <c r="N223" s="471"/>
      <c r="O223" s="471"/>
      <c r="P223" s="471"/>
      <c r="Q223" s="471"/>
      <c r="R223" s="471"/>
      <c r="S223" s="471"/>
      <c r="T223" s="471"/>
      <c r="U223" s="471"/>
      <c r="V223" s="471"/>
      <c r="W223" s="471"/>
      <c r="X223" s="471"/>
      <c r="Y223" s="471"/>
      <c r="Z223" s="720"/>
      <c r="AA223" s="471"/>
      <c r="AB223" s="471"/>
      <c r="AC223" s="471"/>
      <c r="AD223" s="471"/>
      <c r="AE223" s="471"/>
      <c r="AF223" s="471"/>
      <c r="AG223" s="472"/>
      <c r="AH223" s="472"/>
      <c r="AI223" s="472"/>
      <c r="AJ223" s="472"/>
      <c r="AK223" s="471"/>
      <c r="AL223" s="471"/>
      <c r="AM223" s="471"/>
      <c r="AN223" s="471"/>
      <c r="AO223" s="471"/>
      <c r="AP223" s="471"/>
      <c r="AQ223" s="471"/>
      <c r="AR223" s="471"/>
      <c r="AS223" s="1306"/>
      <c r="AT223" s="471"/>
      <c r="AU223" s="471"/>
      <c r="AV223" s="471"/>
      <c r="AW223" s="471"/>
      <c r="AX223" s="471"/>
      <c r="AY223" s="471"/>
      <c r="AZ223" s="471"/>
      <c r="BB223" s="470">
        <f t="shared" si="78"/>
        <v>0</v>
      </c>
      <c r="BC223" s="470">
        <f t="shared" si="79"/>
        <v>0</v>
      </c>
      <c r="BD223" s="444"/>
      <c r="BE223" s="173"/>
      <c r="BF223" s="336"/>
    </row>
    <row r="224" spans="1:58" outlineLevel="1" x14ac:dyDescent="0.35">
      <c r="A224" s="336">
        <f t="shared" si="74"/>
        <v>27</v>
      </c>
      <c r="B224" s="464" t="s">
        <v>69</v>
      </c>
      <c r="C224" s="516" t="s">
        <v>920</v>
      </c>
      <c r="D224" s="470">
        <f t="shared" si="77"/>
        <v>15450871.185612418</v>
      </c>
      <c r="E224" s="1306"/>
      <c r="F224" s="471"/>
      <c r="G224" s="471"/>
      <c r="H224" s="471"/>
      <c r="I224" s="471"/>
      <c r="J224" s="471"/>
      <c r="K224" s="471"/>
      <c r="L224" s="471"/>
      <c r="M224" s="471"/>
      <c r="N224" s="471"/>
      <c r="O224" s="471"/>
      <c r="P224" s="471"/>
      <c r="Q224" s="471"/>
      <c r="R224" s="471"/>
      <c r="S224" s="471"/>
      <c r="T224" s="471"/>
      <c r="U224" s="471"/>
      <c r="V224" s="471"/>
      <c r="W224" s="471"/>
      <c r="X224" s="471"/>
      <c r="Y224" s="471"/>
      <c r="Z224" s="518"/>
      <c r="AA224" s="471"/>
      <c r="AB224" s="471">
        <f>+'Common Adj'!PI48</f>
        <v>4718449.8108259197</v>
      </c>
      <c r="AC224" s="471">
        <f>'Common Adj'!QA17</f>
        <v>-1729712.4673011312</v>
      </c>
      <c r="AD224" s="471"/>
      <c r="AE224" s="471"/>
      <c r="AF224" s="471"/>
      <c r="AG224" s="472"/>
      <c r="AH224" s="472"/>
      <c r="AI224" s="472"/>
      <c r="AJ224" s="472"/>
      <c r="AK224" s="471"/>
      <c r="AL224" s="471">
        <f>'Common Adj'!VA24</f>
        <v>2403256.8895737054</v>
      </c>
      <c r="AM224" s="471"/>
      <c r="AN224" s="471"/>
      <c r="AO224" s="471"/>
      <c r="AP224" s="471">
        <f>'Gas Adj'!BM38+'Gas Adj'!BM42</f>
        <v>0</v>
      </c>
      <c r="AQ224" s="471">
        <f>'Gas Adj'!CE44-'Gas Adj'!CE33-'Gas Adj'!CE36</f>
        <v>12910.259331536305</v>
      </c>
      <c r="AR224" s="471"/>
      <c r="AS224" s="1306">
        <v>3852325</v>
      </c>
      <c r="AT224" s="471"/>
      <c r="AU224" s="471"/>
      <c r="AV224" s="471"/>
      <c r="AW224" s="471"/>
      <c r="AX224" s="471"/>
      <c r="AY224" s="471"/>
      <c r="AZ224" s="471"/>
      <c r="BB224" s="470">
        <f t="shared" si="78"/>
        <v>9257229.4924300313</v>
      </c>
      <c r="BC224" s="470">
        <f t="shared" si="79"/>
        <v>24708100.678042449</v>
      </c>
      <c r="BD224" s="444"/>
      <c r="BE224" s="173"/>
      <c r="BF224" s="336"/>
    </row>
    <row r="225" spans="1:58" outlineLevel="1" x14ac:dyDescent="0.35">
      <c r="A225" s="336">
        <f t="shared" si="74"/>
        <v>28</v>
      </c>
      <c r="B225" s="464" t="s">
        <v>70</v>
      </c>
      <c r="C225" s="516" t="s">
        <v>920</v>
      </c>
      <c r="D225" s="470">
        <f t="shared" si="77"/>
        <v>26303078.738929383</v>
      </c>
      <c r="E225" s="1306">
        <f>'Common Adj'!$K$66</f>
        <v>-138436.252794</v>
      </c>
      <c r="F225" s="471"/>
      <c r="G225" s="471"/>
      <c r="H225" s="471"/>
      <c r="I225" s="471"/>
      <c r="J225" s="471"/>
      <c r="K225" s="471"/>
      <c r="L225" s="471"/>
      <c r="M225" s="471"/>
      <c r="N225" s="471"/>
      <c r="O225" s="471">
        <f>+'Common Adj'!GI28</f>
        <v>1968.4660262220461</v>
      </c>
      <c r="P225" s="471"/>
      <c r="Q225" s="471"/>
      <c r="R225" s="471"/>
      <c r="S225" s="471"/>
      <c r="T225" s="471"/>
      <c r="U225" s="471"/>
      <c r="V225" s="471"/>
      <c r="W225" s="471"/>
      <c r="X225" s="471"/>
      <c r="Y225" s="471"/>
      <c r="Z225" s="720">
        <f>'Common Adj'!NY$23</f>
        <v>-1907825.035493671</v>
      </c>
      <c r="AA225" s="471"/>
      <c r="AB225" s="471"/>
      <c r="AC225" s="471"/>
      <c r="AD225" s="471"/>
      <c r="AE225" s="471"/>
      <c r="AF225" s="471"/>
      <c r="AG225" s="472"/>
      <c r="AH225" s="472"/>
      <c r="AI225" s="472"/>
      <c r="AJ225" s="472"/>
      <c r="AK225" s="471"/>
      <c r="AL225" s="471"/>
      <c r="AM225" s="471"/>
      <c r="AN225" s="471"/>
      <c r="AO225" s="471"/>
      <c r="AP225" s="471"/>
      <c r="AQ225" s="471"/>
      <c r="AR225" s="471"/>
      <c r="AS225" s="1306"/>
      <c r="AT225" s="471"/>
      <c r="AU225" s="471"/>
      <c r="AV225" s="471"/>
      <c r="AW225" s="471"/>
      <c r="AX225" s="471"/>
      <c r="AY225" s="471"/>
      <c r="AZ225" s="471"/>
      <c r="BB225" s="470">
        <f t="shared" si="78"/>
        <v>-2044292.8222614489</v>
      </c>
      <c r="BC225" s="470">
        <f t="shared" si="79"/>
        <v>24258785.916667935</v>
      </c>
      <c r="BD225" s="444"/>
      <c r="BE225" s="173"/>
      <c r="BF225" s="336"/>
    </row>
    <row r="226" spans="1:58" outlineLevel="1" x14ac:dyDescent="0.35">
      <c r="A226" s="336">
        <f t="shared" si="74"/>
        <v>29</v>
      </c>
      <c r="B226" s="464" t="s">
        <v>71</v>
      </c>
      <c r="C226" s="516" t="s">
        <v>920</v>
      </c>
      <c r="D226" s="470">
        <f t="shared" si="77"/>
        <v>12933859.88286794</v>
      </c>
      <c r="E226" s="1306">
        <f>'Common Adj'!$K$70</f>
        <v>-722608.47754200001</v>
      </c>
      <c r="F226" s="471"/>
      <c r="G226" s="471"/>
      <c r="H226" s="471"/>
      <c r="I226" s="471">
        <f>'Common Adj'!CE23</f>
        <v>-532996.14814697567</v>
      </c>
      <c r="J226" s="471"/>
      <c r="K226" s="471"/>
      <c r="L226" s="471"/>
      <c r="M226" s="471"/>
      <c r="N226" s="471"/>
      <c r="O226" s="471">
        <f>+'Common Adj'!GI31</f>
        <v>-5116.1977233749985</v>
      </c>
      <c r="P226" s="471"/>
      <c r="Q226" s="471"/>
      <c r="R226" s="471"/>
      <c r="S226" s="471"/>
      <c r="T226" s="471"/>
      <c r="U226" s="471"/>
      <c r="V226" s="471"/>
      <c r="W226" s="471"/>
      <c r="X226" s="471"/>
      <c r="Y226" s="471"/>
      <c r="Z226" s="720">
        <f>'Common Adj'!NY$30</f>
        <v>-877746.43948086235</v>
      </c>
      <c r="AA226" s="471"/>
      <c r="AB226" s="471">
        <f>+'Common Adj'!PI52</f>
        <v>-990874.46027344314</v>
      </c>
      <c r="AC226" s="471">
        <f>'Common Adj'!QA20</f>
        <v>363239.61813323753</v>
      </c>
      <c r="AD226" s="471"/>
      <c r="AE226" s="471">
        <f>'Common Adj'!RL29</f>
        <v>-14153624.683381069</v>
      </c>
      <c r="AF226" s="471">
        <f>'Common Adj'!SD28</f>
        <v>132141.61590000024</v>
      </c>
      <c r="AG226" s="472">
        <f>'Common Adj'!$SV$24</f>
        <v>-2237962.5784026003</v>
      </c>
      <c r="AH226" s="472">
        <f>'Common Adj'!$SV$42</f>
        <v>-977124.41819999972</v>
      </c>
      <c r="AI226" s="472">
        <f>'Common Adj'!$SV$60</f>
        <v>-94482.626699999993</v>
      </c>
      <c r="AJ226" s="472">
        <f>'Common Adj'!$SV$78</f>
        <v>-1927704.6856221</v>
      </c>
      <c r="AK226" s="471"/>
      <c r="AL226" s="471">
        <f>'Common Adj'!VA26</f>
        <v>-504683.94681047811</v>
      </c>
      <c r="AM226" s="471">
        <f>'Common Adj'!TO23</f>
        <v>-13020</v>
      </c>
      <c r="AN226" s="471">
        <f>'Common Adj'!VT31</f>
        <v>0</v>
      </c>
      <c r="AO226" s="471">
        <f>'Common Adj'!WI20</f>
        <v>-84789.36648040099</v>
      </c>
      <c r="AP226" s="471">
        <f>'Gas Adj'!BM48</f>
        <v>0</v>
      </c>
      <c r="AQ226" s="471">
        <f>'Gas Adj'!CE46</f>
        <v>-2711.154459622624</v>
      </c>
      <c r="AR226" s="471">
        <f>'Gas Adj'!CW29</f>
        <v>138784.8011843072</v>
      </c>
      <c r="AS226" s="1306">
        <f>'Gas Adj'!DF29</f>
        <v>0</v>
      </c>
      <c r="AT226" s="415"/>
      <c r="AU226" s="415"/>
      <c r="AV226" s="471"/>
      <c r="AW226" s="471"/>
      <c r="AX226" s="518"/>
      <c r="AY226" s="471"/>
      <c r="AZ226" s="471"/>
      <c r="BB226" s="470">
        <f t="shared" si="78"/>
        <v>-22491279.148005385</v>
      </c>
      <c r="BC226" s="470">
        <f t="shared" si="79"/>
        <v>-9557419.2651374452</v>
      </c>
      <c r="BD226" s="444"/>
      <c r="BE226" s="173"/>
      <c r="BF226" s="336"/>
    </row>
    <row r="227" spans="1:58" outlineLevel="1" x14ac:dyDescent="0.35">
      <c r="A227" s="336">
        <f t="shared" si="74"/>
        <v>30</v>
      </c>
      <c r="B227" s="329" t="s">
        <v>72</v>
      </c>
      <c r="C227" s="516" t="s">
        <v>920</v>
      </c>
      <c r="D227" s="470">
        <f t="shared" si="77"/>
        <v>-6938006.5860653091</v>
      </c>
      <c r="E227" s="1306"/>
      <c r="F227" s="471"/>
      <c r="G227" s="471"/>
      <c r="H227" s="471">
        <f>SUM('Common Adj'!BM17:BM19)</f>
        <v>-3984285.403344369</v>
      </c>
      <c r="I227" s="471"/>
      <c r="J227" s="471"/>
      <c r="K227" s="471"/>
      <c r="L227" s="471"/>
      <c r="M227" s="471"/>
      <c r="N227" s="471"/>
      <c r="O227" s="471"/>
      <c r="P227" s="471"/>
      <c r="Q227" s="471"/>
      <c r="R227" s="471"/>
      <c r="S227" s="471"/>
      <c r="T227" s="471"/>
      <c r="U227" s="471"/>
      <c r="V227" s="471"/>
      <c r="W227" s="471"/>
      <c r="X227" s="471"/>
      <c r="Y227" s="471"/>
      <c r="Z227" s="471"/>
      <c r="AA227" s="471"/>
      <c r="AB227" s="471"/>
      <c r="AC227" s="471"/>
      <c r="AD227" s="471"/>
      <c r="AE227" s="471"/>
      <c r="AF227" s="471"/>
      <c r="AG227" s="471"/>
      <c r="AH227" s="471"/>
      <c r="AI227" s="471"/>
      <c r="AJ227" s="471"/>
      <c r="AK227" s="471"/>
      <c r="AL227" s="471"/>
      <c r="AM227" s="471"/>
      <c r="AN227" s="471"/>
      <c r="AO227" s="471"/>
      <c r="AP227" s="471"/>
      <c r="AQ227" s="471"/>
      <c r="AR227" s="471"/>
      <c r="AS227" s="1306"/>
      <c r="AT227" s="471"/>
      <c r="AU227" s="471"/>
      <c r="AV227" s="471"/>
      <c r="AW227" s="471"/>
      <c r="AX227" s="471"/>
      <c r="AY227" s="471"/>
      <c r="AZ227" s="471"/>
      <c r="BB227" s="470">
        <f t="shared" si="78"/>
        <v>-3984285.403344369</v>
      </c>
      <c r="BC227" s="470">
        <f t="shared" si="79"/>
        <v>-10922291.989409678</v>
      </c>
      <c r="BD227" s="444"/>
      <c r="BE227" s="173"/>
      <c r="BF227" s="336"/>
    </row>
    <row r="228" spans="1:58" outlineLevel="1" x14ac:dyDescent="0.35">
      <c r="A228" s="336">
        <f t="shared" si="74"/>
        <v>31</v>
      </c>
      <c r="B228" s="464" t="s">
        <v>2</v>
      </c>
      <c r="C228" s="516" t="s">
        <v>920</v>
      </c>
      <c r="D228" s="477">
        <f>SUM(D212:D227)</f>
        <v>426935876.36562687</v>
      </c>
      <c r="E228" s="1310">
        <f t="shared" ref="E228:AS228" si="80">SUM(E212:E227)</f>
        <v>-885881.727342</v>
      </c>
      <c r="F228" s="478">
        <f t="shared" si="80"/>
        <v>0</v>
      </c>
      <c r="G228" s="478">
        <f t="shared" si="80"/>
        <v>0</v>
      </c>
      <c r="H228" s="478">
        <f t="shared" si="80"/>
        <v>-3984285.403344369</v>
      </c>
      <c r="I228" s="478">
        <f t="shared" si="80"/>
        <v>-532996.14814697567</v>
      </c>
      <c r="J228" s="478">
        <f t="shared" si="80"/>
        <v>0</v>
      </c>
      <c r="K228" s="478">
        <f t="shared" si="80"/>
        <v>0</v>
      </c>
      <c r="L228" s="478">
        <f t="shared" si="80"/>
        <v>0</v>
      </c>
      <c r="M228" s="478">
        <f t="shared" si="80"/>
        <v>0</v>
      </c>
      <c r="N228" s="478">
        <f t="shared" si="80"/>
        <v>0</v>
      </c>
      <c r="O228" s="478">
        <f t="shared" si="80"/>
        <v>19246.648578410714</v>
      </c>
      <c r="P228" s="478">
        <f t="shared" si="80"/>
        <v>0</v>
      </c>
      <c r="Q228" s="478">
        <f t="shared" si="80"/>
        <v>0</v>
      </c>
      <c r="R228" s="478">
        <f t="shared" si="80"/>
        <v>0</v>
      </c>
      <c r="S228" s="478">
        <f t="shared" si="80"/>
        <v>0</v>
      </c>
      <c r="T228" s="478">
        <f t="shared" si="80"/>
        <v>0</v>
      </c>
      <c r="U228" s="478">
        <f t="shared" si="80"/>
        <v>0</v>
      </c>
      <c r="V228" s="478">
        <f t="shared" si="80"/>
        <v>0</v>
      </c>
      <c r="W228" s="478">
        <f t="shared" si="80"/>
        <v>0</v>
      </c>
      <c r="X228" s="478">
        <f t="shared" si="80"/>
        <v>0</v>
      </c>
      <c r="Y228" s="478">
        <f t="shared" si="80"/>
        <v>0</v>
      </c>
      <c r="Z228" s="478">
        <f t="shared" si="80"/>
        <v>3301998.5104280058</v>
      </c>
      <c r="AA228" s="478">
        <f t="shared" si="80"/>
        <v>0</v>
      </c>
      <c r="AB228" s="478">
        <f t="shared" si="80"/>
        <v>3727575.3505524765</v>
      </c>
      <c r="AC228" s="478">
        <f t="shared" si="80"/>
        <v>-1366472.8491678936</v>
      </c>
      <c r="AD228" s="478">
        <f t="shared" si="80"/>
        <v>0</v>
      </c>
      <c r="AE228" s="478">
        <f t="shared" si="80"/>
        <v>53244588.094624028</v>
      </c>
      <c r="AF228" s="478">
        <f t="shared" si="80"/>
        <v>-497104.17410000088</v>
      </c>
      <c r="AG228" s="478">
        <f t="shared" si="80"/>
        <v>8419002.0806574002</v>
      </c>
      <c r="AH228" s="478">
        <f t="shared" si="80"/>
        <v>3675849.0017999993</v>
      </c>
      <c r="AI228" s="478">
        <f t="shared" si="80"/>
        <v>355434.6433</v>
      </c>
      <c r="AJ228" s="478">
        <f t="shared" si="80"/>
        <v>7251841.4363879003</v>
      </c>
      <c r="AK228" s="478">
        <f t="shared" si="80"/>
        <v>0</v>
      </c>
      <c r="AL228" s="478">
        <f t="shared" si="80"/>
        <v>1898572.9427632273</v>
      </c>
      <c r="AM228" s="479">
        <f t="shared" si="80"/>
        <v>48980</v>
      </c>
      <c r="AN228" s="479">
        <f t="shared" si="80"/>
        <v>0</v>
      </c>
      <c r="AO228" s="479">
        <f t="shared" si="80"/>
        <v>318969.52152150846</v>
      </c>
      <c r="AP228" s="478">
        <f t="shared" si="80"/>
        <v>0</v>
      </c>
      <c r="AQ228" s="478">
        <f t="shared" si="80"/>
        <v>10199.104871913682</v>
      </c>
      <c r="AR228" s="478">
        <f t="shared" si="80"/>
        <v>-522095.20445525099</v>
      </c>
      <c r="AS228" s="1310">
        <f t="shared" si="80"/>
        <v>3852325</v>
      </c>
      <c r="AT228" s="478"/>
      <c r="AU228" s="478"/>
      <c r="AV228" s="478"/>
      <c r="AW228" s="478"/>
      <c r="AX228" s="478"/>
      <c r="AY228" s="478"/>
      <c r="AZ228" s="478"/>
      <c r="BB228" s="477">
        <f>SUM(BB212:BB227)</f>
        <v>78335746.828928351</v>
      </c>
      <c r="BC228" s="477">
        <f>SUM(BC212:BC227)</f>
        <v>505271623.19455522</v>
      </c>
      <c r="BD228" s="444"/>
      <c r="BE228" s="173"/>
      <c r="BF228" s="336"/>
    </row>
    <row r="229" spans="1:58" outlineLevel="1" x14ac:dyDescent="0.35">
      <c r="A229" s="336">
        <f t="shared" si="74"/>
        <v>32</v>
      </c>
      <c r="C229" s="516" t="s">
        <v>920</v>
      </c>
      <c r="D229" s="482"/>
      <c r="E229" s="1311"/>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483"/>
      <c r="AN229" s="363"/>
      <c r="AO229" s="363"/>
      <c r="AP229" s="363"/>
      <c r="AQ229" s="363"/>
      <c r="AR229" s="363"/>
      <c r="AS229" s="1311"/>
      <c r="AT229" s="363"/>
      <c r="AU229" s="363"/>
      <c r="AV229" s="363"/>
      <c r="AW229" s="363"/>
      <c r="AX229" s="363"/>
      <c r="AY229" s="363"/>
      <c r="AZ229" s="363"/>
      <c r="BB229" s="482"/>
      <c r="BC229" s="482"/>
      <c r="BD229" s="444"/>
      <c r="BE229" s="173"/>
      <c r="BF229" s="336"/>
    </row>
    <row r="230" spans="1:58" ht="15" outlineLevel="1" thickBot="1" x14ac:dyDescent="0.4">
      <c r="A230" s="336">
        <f t="shared" si="74"/>
        <v>33</v>
      </c>
      <c r="B230" s="329" t="s">
        <v>4</v>
      </c>
      <c r="C230" s="516" t="s">
        <v>920</v>
      </c>
      <c r="D230" s="484">
        <f>+D203-D228</f>
        <v>126837249.57794708</v>
      </c>
      <c r="E230" s="1312">
        <f t="shared" ref="E230:AS230" si="81">+E203-E228</f>
        <v>-2718384.2726579998</v>
      </c>
      <c r="F230" s="485">
        <f t="shared" si="81"/>
        <v>0</v>
      </c>
      <c r="G230" s="485">
        <f t="shared" si="81"/>
        <v>0</v>
      </c>
      <c r="H230" s="485">
        <f t="shared" si="81"/>
        <v>3984285.403344369</v>
      </c>
      <c r="I230" s="485">
        <f t="shared" si="81"/>
        <v>532996.14814697567</v>
      </c>
      <c r="J230" s="485">
        <f t="shared" si="81"/>
        <v>0</v>
      </c>
      <c r="K230" s="485">
        <f t="shared" si="81"/>
        <v>0</v>
      </c>
      <c r="L230" s="485">
        <f t="shared" si="81"/>
        <v>0</v>
      </c>
      <c r="M230" s="485">
        <f t="shared" si="81"/>
        <v>0</v>
      </c>
      <c r="N230" s="485">
        <f t="shared" si="81"/>
        <v>0</v>
      </c>
      <c r="O230" s="485">
        <f t="shared" si="81"/>
        <v>-19246.648578410714</v>
      </c>
      <c r="P230" s="485">
        <f t="shared" si="81"/>
        <v>0</v>
      </c>
      <c r="Q230" s="485">
        <f t="shared" si="81"/>
        <v>0</v>
      </c>
      <c r="R230" s="485">
        <f t="shared" si="81"/>
        <v>0</v>
      </c>
      <c r="S230" s="485">
        <f t="shared" si="81"/>
        <v>0</v>
      </c>
      <c r="T230" s="485">
        <f t="shared" si="81"/>
        <v>0</v>
      </c>
      <c r="U230" s="485">
        <f t="shared" si="81"/>
        <v>0</v>
      </c>
      <c r="V230" s="485">
        <f t="shared" si="81"/>
        <v>0</v>
      </c>
      <c r="W230" s="485">
        <f t="shared" si="81"/>
        <v>0</v>
      </c>
      <c r="X230" s="485">
        <f t="shared" si="81"/>
        <v>0</v>
      </c>
      <c r="Y230" s="485">
        <f t="shared" si="81"/>
        <v>0</v>
      </c>
      <c r="Z230" s="485">
        <f t="shared" si="81"/>
        <v>-3301998.5104280058</v>
      </c>
      <c r="AA230" s="485">
        <f t="shared" si="81"/>
        <v>0</v>
      </c>
      <c r="AB230" s="485">
        <f t="shared" si="81"/>
        <v>-3727575.3505524765</v>
      </c>
      <c r="AC230" s="485">
        <f t="shared" si="81"/>
        <v>1366472.8491678936</v>
      </c>
      <c r="AD230" s="485">
        <f t="shared" si="81"/>
        <v>0</v>
      </c>
      <c r="AE230" s="485">
        <f t="shared" si="81"/>
        <v>-53244588.094624028</v>
      </c>
      <c r="AF230" s="485">
        <f t="shared" si="81"/>
        <v>497104.17410000088</v>
      </c>
      <c r="AG230" s="485">
        <f t="shared" si="81"/>
        <v>-8419002.0806574002</v>
      </c>
      <c r="AH230" s="485">
        <f t="shared" si="81"/>
        <v>-3675849.0017999993</v>
      </c>
      <c r="AI230" s="485">
        <f t="shared" si="81"/>
        <v>-355434.6433</v>
      </c>
      <c r="AJ230" s="485">
        <f t="shared" si="81"/>
        <v>-7251841.4363879003</v>
      </c>
      <c r="AK230" s="485">
        <f t="shared" si="81"/>
        <v>0</v>
      </c>
      <c r="AL230" s="485">
        <f t="shared" si="81"/>
        <v>-1898572.9427632273</v>
      </c>
      <c r="AM230" s="486">
        <f t="shared" si="81"/>
        <v>-48980</v>
      </c>
      <c r="AN230" s="486">
        <f t="shared" si="81"/>
        <v>0</v>
      </c>
      <c r="AO230" s="486">
        <f t="shared" si="81"/>
        <v>-318969.52152150846</v>
      </c>
      <c r="AP230" s="485">
        <f t="shared" si="81"/>
        <v>0</v>
      </c>
      <c r="AQ230" s="485">
        <f t="shared" si="81"/>
        <v>-10199.104871913682</v>
      </c>
      <c r="AR230" s="485">
        <f t="shared" si="81"/>
        <v>522095.20445525099</v>
      </c>
      <c r="AS230" s="1312">
        <f t="shared" si="81"/>
        <v>-3852325</v>
      </c>
      <c r="AT230" s="485"/>
      <c r="AU230" s="485"/>
      <c r="AV230" s="485"/>
      <c r="AW230" s="485"/>
      <c r="AX230" s="485"/>
      <c r="AY230" s="485"/>
      <c r="AZ230" s="485"/>
      <c r="BB230" s="484">
        <f>+BB203-BB228</f>
        <v>-81940012.828928351</v>
      </c>
      <c r="BC230" s="484">
        <f>+BC203-BC228</f>
        <v>44897236.749018729</v>
      </c>
      <c r="BD230" s="444"/>
      <c r="BE230" s="173"/>
      <c r="BF230" s="336"/>
    </row>
    <row r="231" spans="1:58" ht="12" customHeight="1" outlineLevel="1" thickTop="1" x14ac:dyDescent="0.35">
      <c r="A231" s="336">
        <f t="shared" si="74"/>
        <v>34</v>
      </c>
      <c r="B231"/>
      <c r="C231" s="516" t="s">
        <v>920</v>
      </c>
      <c r="D231" s="219"/>
      <c r="E231" s="1313"/>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6"/>
      <c r="AE231" s="416"/>
      <c r="AF231" s="416"/>
      <c r="AG231" s="416"/>
      <c r="AH231" s="416"/>
      <c r="AI231" s="416"/>
      <c r="AJ231" s="416"/>
      <c r="AK231" s="416"/>
      <c r="AL231" s="416"/>
      <c r="AM231" s="116"/>
      <c r="AN231" s="416"/>
      <c r="AO231" s="416"/>
      <c r="AP231" s="416"/>
      <c r="AQ231" s="416"/>
      <c r="AR231" s="416"/>
      <c r="AS231" s="1313"/>
      <c r="AT231" s="416"/>
      <c r="AU231" s="416"/>
      <c r="AV231" s="416"/>
      <c r="AW231" s="416"/>
      <c r="AX231" s="416"/>
      <c r="AY231" s="416"/>
      <c r="AZ231" s="416"/>
      <c r="BB231" s="219"/>
      <c r="BC231" s="219"/>
      <c r="BD231" s="444"/>
      <c r="BE231" s="173"/>
      <c r="BF231" s="336"/>
    </row>
    <row r="232" spans="1:58" outlineLevel="1" x14ac:dyDescent="0.35">
      <c r="A232" s="336">
        <f t="shared" si="74"/>
        <v>35</v>
      </c>
      <c r="B232" s="464" t="s">
        <v>124</v>
      </c>
      <c r="C232" s="516" t="s">
        <v>920</v>
      </c>
      <c r="D232" s="476">
        <f>D243</f>
        <v>2900790224.7215991</v>
      </c>
      <c r="E232" s="1309">
        <f t="shared" ref="E232:AS232" si="82">E243</f>
        <v>0</v>
      </c>
      <c r="F232" s="420">
        <f t="shared" si="82"/>
        <v>0</v>
      </c>
      <c r="G232" s="420">
        <f t="shared" si="82"/>
        <v>0</v>
      </c>
      <c r="H232" s="420">
        <f t="shared" si="82"/>
        <v>0</v>
      </c>
      <c r="I232" s="420">
        <f t="shared" si="82"/>
        <v>0</v>
      </c>
      <c r="J232" s="420">
        <f t="shared" si="82"/>
        <v>0</v>
      </c>
      <c r="K232" s="420">
        <f t="shared" si="82"/>
        <v>0</v>
      </c>
      <c r="L232" s="420">
        <f t="shared" si="82"/>
        <v>0</v>
      </c>
      <c r="M232" s="420">
        <f t="shared" si="82"/>
        <v>0</v>
      </c>
      <c r="N232" s="420">
        <f t="shared" si="82"/>
        <v>0</v>
      </c>
      <c r="O232" s="420">
        <f t="shared" si="82"/>
        <v>0</v>
      </c>
      <c r="P232" s="420">
        <f t="shared" si="82"/>
        <v>0</v>
      </c>
      <c r="Q232" s="420">
        <f t="shared" si="82"/>
        <v>0</v>
      </c>
      <c r="R232" s="420">
        <f t="shared" si="82"/>
        <v>0</v>
      </c>
      <c r="S232" s="420">
        <f t="shared" si="82"/>
        <v>0</v>
      </c>
      <c r="T232" s="420">
        <f t="shared" si="82"/>
        <v>0</v>
      </c>
      <c r="U232" s="420">
        <f t="shared" si="82"/>
        <v>0</v>
      </c>
      <c r="V232" s="420">
        <f t="shared" si="82"/>
        <v>0</v>
      </c>
      <c r="W232" s="420">
        <f t="shared" si="82"/>
        <v>0</v>
      </c>
      <c r="X232" s="420">
        <f t="shared" si="82"/>
        <v>0</v>
      </c>
      <c r="Y232" s="420">
        <f t="shared" si="82"/>
        <v>0</v>
      </c>
      <c r="Z232" s="420">
        <f t="shared" si="82"/>
        <v>0</v>
      </c>
      <c r="AA232" s="420">
        <f t="shared" si="82"/>
        <v>0</v>
      </c>
      <c r="AB232" s="420">
        <f t="shared" si="82"/>
        <v>0</v>
      </c>
      <c r="AC232" s="420">
        <f t="shared" si="82"/>
        <v>0</v>
      </c>
      <c r="AD232" s="420">
        <f t="shared" si="82"/>
        <v>0</v>
      </c>
      <c r="AE232" s="420">
        <f t="shared" si="82"/>
        <v>-110651507.27837408</v>
      </c>
      <c r="AF232" s="420">
        <f t="shared" si="82"/>
        <v>424163.73</v>
      </c>
      <c r="AG232" s="420">
        <f t="shared" si="82"/>
        <v>52167450.423619971</v>
      </c>
      <c r="AH232" s="420">
        <f t="shared" si="82"/>
        <v>24244937.780000035</v>
      </c>
      <c r="AI232" s="420">
        <f t="shared" si="82"/>
        <v>-280261.93000000005</v>
      </c>
      <c r="AJ232" s="420">
        <f t="shared" si="82"/>
        <v>4403069.303989986</v>
      </c>
      <c r="AK232" s="420">
        <f t="shared" si="82"/>
        <v>0</v>
      </c>
      <c r="AL232" s="420">
        <f t="shared" si="82"/>
        <v>0</v>
      </c>
      <c r="AM232" s="420">
        <f t="shared" si="82"/>
        <v>0</v>
      </c>
      <c r="AN232" s="420">
        <f t="shared" si="82"/>
        <v>0</v>
      </c>
      <c r="AO232" s="420"/>
      <c r="AP232" s="420">
        <f t="shared" si="82"/>
        <v>0</v>
      </c>
      <c r="AQ232" s="420">
        <f t="shared" si="82"/>
        <v>-5170723.4230643986</v>
      </c>
      <c r="AR232" s="420">
        <f t="shared" si="82"/>
        <v>576639.62190245662</v>
      </c>
      <c r="AS232" s="1309">
        <f t="shared" si="82"/>
        <v>0</v>
      </c>
      <c r="AT232" s="420"/>
      <c r="AU232" s="420"/>
      <c r="AV232" s="420"/>
      <c r="AW232" s="420"/>
      <c r="AX232" s="420"/>
      <c r="AY232" s="420"/>
      <c r="AZ232" s="420"/>
      <c r="BB232" s="476">
        <f>BB243</f>
        <v>-34286231.771925993</v>
      </c>
      <c r="BC232" s="476">
        <f>BC243</f>
        <v>2866503992.9496732</v>
      </c>
      <c r="BD232" s="444"/>
      <c r="BE232" s="173"/>
      <c r="BF232" s="336"/>
    </row>
    <row r="233" spans="1:58" outlineLevel="1" x14ac:dyDescent="0.35">
      <c r="A233" s="336">
        <f t="shared" si="74"/>
        <v>36</v>
      </c>
      <c r="C233" s="516" t="s">
        <v>920</v>
      </c>
      <c r="D233" s="466"/>
      <c r="E233" s="1308"/>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487"/>
      <c r="AN233" s="341"/>
      <c r="AO233" s="341"/>
      <c r="AP233" s="341"/>
      <c r="AQ233" s="341"/>
      <c r="AR233" s="341"/>
      <c r="AS233" s="1308"/>
      <c r="AT233" s="341"/>
      <c r="AU233" s="341"/>
      <c r="AV233" s="341"/>
      <c r="AW233" s="341"/>
      <c r="AX233" s="341"/>
      <c r="AY233" s="341"/>
      <c r="AZ233" s="341"/>
      <c r="BB233" s="466"/>
      <c r="BC233" s="466"/>
      <c r="BD233" s="444"/>
      <c r="BE233" s="173"/>
      <c r="BF233" s="336"/>
    </row>
    <row r="234" spans="1:58" outlineLevel="1" x14ac:dyDescent="0.35">
      <c r="A234" s="336">
        <f t="shared" si="74"/>
        <v>37</v>
      </c>
      <c r="B234" s="464" t="s">
        <v>125</v>
      </c>
      <c r="C234" s="516" t="s">
        <v>920</v>
      </c>
      <c r="D234" s="488">
        <f>+D230/D232</f>
        <v>4.372506791321671E-2</v>
      </c>
      <c r="E234" s="1306"/>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89"/>
      <c r="AN234" s="471"/>
      <c r="AO234" s="471"/>
      <c r="AP234" s="471"/>
      <c r="AQ234" s="471"/>
      <c r="AR234" s="471"/>
      <c r="AS234" s="1306"/>
      <c r="AT234" s="471"/>
      <c r="AU234" s="471"/>
      <c r="AV234" s="471"/>
      <c r="AW234" s="471"/>
      <c r="AX234" s="471"/>
      <c r="AY234" s="471"/>
      <c r="AZ234" s="471"/>
      <c r="BB234" s="488"/>
      <c r="BC234" s="488">
        <f>+BC230/BC232</f>
        <v>1.5662715579481484E-2</v>
      </c>
      <c r="BD234" s="444"/>
      <c r="BE234" s="173"/>
      <c r="BF234" s="336"/>
    </row>
    <row r="235" spans="1:58" outlineLevel="1" x14ac:dyDescent="0.35">
      <c r="A235" s="336">
        <f t="shared" si="74"/>
        <v>38</v>
      </c>
      <c r="C235" s="516" t="s">
        <v>920</v>
      </c>
      <c r="D235" s="470"/>
      <c r="E235" s="1306"/>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2"/>
      <c r="AN235" s="471"/>
      <c r="AO235" s="471"/>
      <c r="AP235" s="471"/>
      <c r="AQ235" s="471"/>
      <c r="AR235" s="471"/>
      <c r="AS235" s="1306"/>
      <c r="AT235" s="471"/>
      <c r="AU235" s="471"/>
      <c r="AV235" s="471"/>
      <c r="AW235" s="471"/>
      <c r="AX235" s="471"/>
      <c r="AY235" s="471"/>
      <c r="AZ235" s="471"/>
      <c r="BB235" s="470"/>
      <c r="BC235" s="470"/>
      <c r="BD235" s="444"/>
      <c r="BE235" s="173"/>
      <c r="BF235" s="336"/>
    </row>
    <row r="236" spans="1:58" outlineLevel="1" x14ac:dyDescent="0.35">
      <c r="A236" s="336">
        <f t="shared" si="74"/>
        <v>39</v>
      </c>
      <c r="B236" s="329" t="s">
        <v>126</v>
      </c>
      <c r="C236" s="516" t="s">
        <v>920</v>
      </c>
      <c r="D236" s="470"/>
      <c r="E236" s="1306"/>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2"/>
      <c r="AN236" s="471"/>
      <c r="AO236" s="471"/>
      <c r="AP236" s="471"/>
      <c r="AQ236" s="471"/>
      <c r="AR236" s="471"/>
      <c r="AS236" s="1306"/>
      <c r="AT236" s="471"/>
      <c r="AU236" s="471"/>
      <c r="AV236" s="471"/>
      <c r="AW236" s="471"/>
      <c r="AX236" s="471"/>
      <c r="AY236" s="471"/>
      <c r="AZ236" s="471"/>
      <c r="BB236" s="470"/>
      <c r="BC236" s="470"/>
      <c r="BD236" s="444"/>
      <c r="BE236" s="173"/>
      <c r="BF236" s="336"/>
    </row>
    <row r="237" spans="1:58" outlineLevel="1" x14ac:dyDescent="0.35">
      <c r="A237" s="336">
        <f t="shared" si="74"/>
        <v>40</v>
      </c>
      <c r="B237" s="490" t="s">
        <v>20</v>
      </c>
      <c r="C237" s="516" t="s">
        <v>920</v>
      </c>
      <c r="D237" s="476">
        <f t="shared" ref="D237:D242" si="83">+BC176</f>
        <v>5703698652.9502459</v>
      </c>
      <c r="E237" s="1309"/>
      <c r="F237" s="420"/>
      <c r="G237" s="420"/>
      <c r="H237" s="420"/>
      <c r="I237" s="420"/>
      <c r="J237" s="420"/>
      <c r="K237" s="420"/>
      <c r="L237" s="420"/>
      <c r="M237" s="420"/>
      <c r="N237" s="420"/>
      <c r="O237" s="420"/>
      <c r="P237" s="420"/>
      <c r="Q237" s="420"/>
      <c r="R237" s="420"/>
      <c r="S237" s="420"/>
      <c r="T237" s="420"/>
      <c r="U237" s="420"/>
      <c r="V237" s="420"/>
      <c r="W237" s="420"/>
      <c r="X237" s="420"/>
      <c r="Y237" s="420"/>
      <c r="Z237" s="420"/>
      <c r="AA237" s="420"/>
      <c r="AB237" s="420"/>
      <c r="AC237" s="420"/>
      <c r="AD237" s="420">
        <f>'Common Adj'!QT17</f>
        <v>-7243194.7537397146</v>
      </c>
      <c r="AE237" s="420"/>
      <c r="AF237" s="420"/>
      <c r="AG237" s="173">
        <f>'Common Adj'!$SV$28</f>
        <v>61776287.73843497</v>
      </c>
      <c r="AH237" s="173">
        <f>'Common Adj'!$SV$46</f>
        <v>28472966.340000033</v>
      </c>
      <c r="AI237" s="173">
        <f>'Common Adj'!$SV$64</f>
        <v>0</v>
      </c>
      <c r="AJ237" s="173">
        <f>'Common Adj'!$SV$82</f>
        <v>13304012.333819985</v>
      </c>
      <c r="AK237" s="420"/>
      <c r="AL237" s="420"/>
      <c r="AM237" s="173"/>
      <c r="AN237" s="420">
        <f>'Common Adj'!VT20</f>
        <v>0</v>
      </c>
      <c r="AO237" s="420"/>
      <c r="AP237" s="420"/>
      <c r="AQ237" s="420"/>
      <c r="AR237" s="420">
        <f>'Gas Adj'!CW18</f>
        <v>0</v>
      </c>
      <c r="AS237" s="1309">
        <f>'Gas Adj'!DF18</f>
        <v>0</v>
      </c>
      <c r="AT237" s="420"/>
      <c r="AU237" s="420"/>
      <c r="AV237" s="420"/>
      <c r="AW237" s="420"/>
      <c r="AX237" s="420"/>
      <c r="AY237" s="420"/>
      <c r="AZ237" s="420"/>
      <c r="BB237" s="476">
        <f t="shared" ref="BB237:BB242" si="84">SUM(E237:AZ237)</f>
        <v>96310071.658515275</v>
      </c>
      <c r="BC237" s="476">
        <f t="shared" ref="BC237:BC242" si="85">+BB237+D237</f>
        <v>5800008724.6087608</v>
      </c>
      <c r="BD237" s="444"/>
      <c r="BE237" s="173"/>
      <c r="BF237" s="336"/>
    </row>
    <row r="238" spans="1:58" outlineLevel="1" x14ac:dyDescent="0.35">
      <c r="A238" s="336">
        <f t="shared" si="74"/>
        <v>41</v>
      </c>
      <c r="B238" s="490" t="s">
        <v>21</v>
      </c>
      <c r="C238" s="516" t="s">
        <v>920</v>
      </c>
      <c r="D238" s="470">
        <f t="shared" si="83"/>
        <v>-2378834076.64008</v>
      </c>
      <c r="E238" s="1306"/>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f>'Common Adj'!QT18</f>
        <v>7243194.7537397146</v>
      </c>
      <c r="AE238" s="471">
        <f>'Common Adj'!RL34</f>
        <v>-130226967.27970982</v>
      </c>
      <c r="AF238" s="471">
        <f>'Common Adj'!SD33</f>
        <v>424163.73</v>
      </c>
      <c r="AG238" s="472">
        <f>'Common Adj'!$SV$29</f>
        <v>-8504153.2246999964</v>
      </c>
      <c r="AH238" s="472">
        <f>'Common Adj'!$SV$47</f>
        <v>-3715299.8600000003</v>
      </c>
      <c r="AI238" s="472">
        <f>'Common Adj'!$SV$65</f>
        <v>-232866.6</v>
      </c>
      <c r="AJ238" s="472">
        <f>'Common Adj'!$SV$83</f>
        <v>-7425513.8108900003</v>
      </c>
      <c r="AK238" s="471"/>
      <c r="AL238" s="471"/>
      <c r="AM238" s="481"/>
      <c r="AN238" s="471">
        <f>'Common Adj'!VT21</f>
        <v>0</v>
      </c>
      <c r="AO238" s="471"/>
      <c r="AP238" s="471"/>
      <c r="AQ238" s="471"/>
      <c r="AR238" s="471">
        <f>'Gas Adj'!CW19+'Gas Adj'!CW20</f>
        <v>548629.68301899789</v>
      </c>
      <c r="AS238" s="1306">
        <f>'Gas Adj'!DF19+'Gas Adj'!DF20</f>
        <v>0</v>
      </c>
      <c r="AT238" s="415"/>
      <c r="AU238" s="471"/>
      <c r="AV238" s="471"/>
      <c r="AW238" s="356"/>
      <c r="AX238" s="471"/>
      <c r="AY238" s="471"/>
      <c r="AZ238" s="471"/>
      <c r="BB238" s="470">
        <f t="shared" si="84"/>
        <v>-141888812.60854107</v>
      </c>
      <c r="BC238" s="470">
        <f t="shared" si="85"/>
        <v>-2520722889.248621</v>
      </c>
      <c r="BD238" s="444"/>
      <c r="BE238" s="173"/>
      <c r="BF238" s="336"/>
    </row>
    <row r="239" spans="1:58" outlineLevel="1" x14ac:dyDescent="0.35">
      <c r="A239" s="336">
        <f t="shared" si="74"/>
        <v>42</v>
      </c>
      <c r="B239" s="329" t="s">
        <v>127</v>
      </c>
      <c r="C239" s="516" t="s">
        <v>920</v>
      </c>
      <c r="D239" s="470">
        <f t="shared" si="83"/>
        <v>17001808.131428298</v>
      </c>
      <c r="E239" s="1306"/>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f>'Common Adj'!SD34</f>
        <v>0</v>
      </c>
      <c r="AG239" s="472"/>
      <c r="AH239" s="472"/>
      <c r="AI239" s="472"/>
      <c r="AJ239" s="472"/>
      <c r="AK239" s="471"/>
      <c r="AL239" s="471">
        <f>'Common Adj'!VA17</f>
        <v>0</v>
      </c>
      <c r="AM239" s="481"/>
      <c r="AN239" s="471"/>
      <c r="AO239" s="471"/>
      <c r="AP239" s="471"/>
      <c r="AQ239" s="471">
        <f>'Gas Adj'!CE25</f>
        <v>-6301235.2377254888</v>
      </c>
      <c r="AR239" s="471"/>
      <c r="AS239" s="1306"/>
      <c r="AT239" s="415"/>
      <c r="AU239" s="471"/>
      <c r="AV239" s="471"/>
      <c r="AW239" s="356"/>
      <c r="AX239" s="471"/>
      <c r="AY239" s="471"/>
      <c r="AZ239" s="471"/>
      <c r="BB239" s="470">
        <f t="shared" si="84"/>
        <v>-6301235.2377254888</v>
      </c>
      <c r="BC239" s="470">
        <f t="shared" si="85"/>
        <v>10700572.893702809</v>
      </c>
      <c r="BD239" s="444"/>
      <c r="BE239" s="173"/>
      <c r="BF239" s="336"/>
    </row>
    <row r="240" spans="1:58" outlineLevel="1" x14ac:dyDescent="0.35">
      <c r="A240" s="336">
        <f t="shared" si="74"/>
        <v>43</v>
      </c>
      <c r="B240" s="329" t="s">
        <v>128</v>
      </c>
      <c r="C240" s="516" t="s">
        <v>920</v>
      </c>
      <c r="D240" s="470">
        <f t="shared" si="83"/>
        <v>-558903629.43259001</v>
      </c>
      <c r="E240" s="1306"/>
      <c r="F240" s="471"/>
      <c r="G240" s="471"/>
      <c r="H240" s="471">
        <f>+'Common Adj'!BM24</f>
        <v>0</v>
      </c>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f>'Common Adj'!RL35</f>
        <v>19575460.00133574</v>
      </c>
      <c r="AF240" s="471"/>
      <c r="AG240" s="472">
        <f>'Common Adj'!$SV$30</f>
        <v>-1104684.0901149998</v>
      </c>
      <c r="AH240" s="472">
        <f>'Common Adj'!$SV$48</f>
        <v>-512728.69999999995</v>
      </c>
      <c r="AI240" s="472">
        <f>'Common Adj'!$SV$66</f>
        <v>-47395.330000000016</v>
      </c>
      <c r="AJ240" s="472">
        <f>'Common Adj'!$SV$84</f>
        <v>-1475429.2189399996</v>
      </c>
      <c r="AK240" s="471"/>
      <c r="AL240" s="471">
        <f>'Common Adj'!VA18</f>
        <v>0</v>
      </c>
      <c r="AM240" s="347"/>
      <c r="AN240" s="471">
        <f>'Common Adj'!VT22</f>
        <v>0</v>
      </c>
      <c r="AO240" s="471"/>
      <c r="AP240" s="471"/>
      <c r="AQ240" s="471">
        <f>'Gas Adj'!CE26</f>
        <v>1130511.8146610903</v>
      </c>
      <c r="AR240" s="471">
        <f>'Gas Adj'!CW21</f>
        <v>28009.93888345873</v>
      </c>
      <c r="AS240" s="1306">
        <f>'Gas Adj'!DF21</f>
        <v>0</v>
      </c>
      <c r="AT240" s="356"/>
      <c r="AU240" s="471"/>
      <c r="AV240" s="471"/>
      <c r="AW240" s="356"/>
      <c r="AX240" s="471"/>
      <c r="AY240" s="471"/>
      <c r="AZ240" s="471"/>
      <c r="BB240" s="470">
        <f t="shared" si="84"/>
        <v>17593744.415825292</v>
      </c>
      <c r="BC240" s="470">
        <f t="shared" si="85"/>
        <v>-541309885.01676476</v>
      </c>
      <c r="BD240" s="444"/>
      <c r="BE240" s="173"/>
      <c r="BF240" s="336"/>
    </row>
    <row r="241" spans="1:58" outlineLevel="1" x14ac:dyDescent="0.35">
      <c r="A241" s="336">
        <f t="shared" si="74"/>
        <v>44</v>
      </c>
      <c r="B241" s="329" t="s">
        <v>129</v>
      </c>
      <c r="C241" s="516" t="s">
        <v>920</v>
      </c>
      <c r="D241" s="491">
        <f t="shared" si="83"/>
        <v>119028167.29199991</v>
      </c>
      <c r="E241" s="1306"/>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81"/>
      <c r="AN241" s="471"/>
      <c r="AO241" s="471"/>
      <c r="AP241" s="471"/>
      <c r="AQ241" s="471"/>
      <c r="AR241" s="471"/>
      <c r="AS241" s="1306"/>
      <c r="AT241" s="471"/>
      <c r="AU241" s="471"/>
      <c r="AV241" s="471"/>
      <c r="AW241" s="471"/>
      <c r="AX241" s="471"/>
      <c r="AY241" s="471"/>
      <c r="AZ241" s="471"/>
      <c r="BB241" s="492">
        <f t="shared" si="84"/>
        <v>0</v>
      </c>
      <c r="BC241" s="470">
        <f t="shared" si="85"/>
        <v>119028167.29199991</v>
      </c>
      <c r="BD241" s="444"/>
      <c r="BE241" s="173"/>
      <c r="BF241" s="336"/>
    </row>
    <row r="242" spans="1:58" outlineLevel="1" x14ac:dyDescent="0.35">
      <c r="A242" s="336">
        <f t="shared" si="74"/>
        <v>45</v>
      </c>
      <c r="B242" s="329" t="s">
        <v>130</v>
      </c>
      <c r="C242" s="516" t="s">
        <v>920</v>
      </c>
      <c r="D242" s="470">
        <f t="shared" si="83"/>
        <v>-1200697.579405</v>
      </c>
      <c r="E242" s="1306"/>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81"/>
      <c r="AN242" s="471"/>
      <c r="AO242" s="471"/>
      <c r="AP242" s="471"/>
      <c r="AQ242" s="471"/>
      <c r="AR242" s="471"/>
      <c r="AS242" s="1306"/>
      <c r="AT242" s="471"/>
      <c r="AU242" s="471"/>
      <c r="AV242" s="471"/>
      <c r="AW242" s="471"/>
      <c r="AX242" s="471"/>
      <c r="AY242" s="471"/>
      <c r="AZ242" s="471"/>
      <c r="BB242" s="470">
        <f t="shared" si="84"/>
        <v>0</v>
      </c>
      <c r="BC242" s="470">
        <f t="shared" si="85"/>
        <v>-1200697.579405</v>
      </c>
      <c r="BD242" s="444"/>
      <c r="BE242" s="173"/>
      <c r="BF242" s="336"/>
    </row>
    <row r="243" spans="1:58" ht="15" outlineLevel="1" thickBot="1" x14ac:dyDescent="0.4">
      <c r="A243" s="336">
        <f t="shared" si="74"/>
        <v>46</v>
      </c>
      <c r="B243" s="329" t="s">
        <v>22</v>
      </c>
      <c r="C243" s="516" t="s">
        <v>920</v>
      </c>
      <c r="D243" s="493">
        <f>SUM(D237:D242)</f>
        <v>2900790224.7215991</v>
      </c>
      <c r="E243" s="1314">
        <f t="shared" ref="E243:X243" si="86">SUM(E237:E242)</f>
        <v>0</v>
      </c>
      <c r="F243" s="519">
        <f t="shared" si="86"/>
        <v>0</v>
      </c>
      <c r="G243" s="519">
        <f t="shared" si="86"/>
        <v>0</v>
      </c>
      <c r="H243" s="519">
        <f t="shared" si="86"/>
        <v>0</v>
      </c>
      <c r="I243" s="519">
        <f t="shared" si="86"/>
        <v>0</v>
      </c>
      <c r="J243" s="519">
        <f t="shared" si="86"/>
        <v>0</v>
      </c>
      <c r="K243" s="519">
        <f t="shared" si="86"/>
        <v>0</v>
      </c>
      <c r="L243" s="519">
        <f t="shared" si="86"/>
        <v>0</v>
      </c>
      <c r="M243" s="519">
        <f t="shared" si="86"/>
        <v>0</v>
      </c>
      <c r="N243" s="519">
        <f t="shared" si="86"/>
        <v>0</v>
      </c>
      <c r="O243" s="519">
        <f t="shared" si="86"/>
        <v>0</v>
      </c>
      <c r="P243" s="519">
        <f t="shared" si="86"/>
        <v>0</v>
      </c>
      <c r="Q243" s="519">
        <f t="shared" si="86"/>
        <v>0</v>
      </c>
      <c r="R243" s="519">
        <f t="shared" si="86"/>
        <v>0</v>
      </c>
      <c r="S243" s="519">
        <f t="shared" si="86"/>
        <v>0</v>
      </c>
      <c r="T243" s="519">
        <f t="shared" si="86"/>
        <v>0</v>
      </c>
      <c r="U243" s="519">
        <f t="shared" si="86"/>
        <v>0</v>
      </c>
      <c r="V243" s="519">
        <f t="shared" si="86"/>
        <v>0</v>
      </c>
      <c r="W243" s="519">
        <f t="shared" si="86"/>
        <v>0</v>
      </c>
      <c r="X243" s="519">
        <f t="shared" si="86"/>
        <v>0</v>
      </c>
      <c r="Y243" s="519">
        <f>SUM(Y238:Y242)</f>
        <v>0</v>
      </c>
      <c r="Z243" s="519">
        <f t="shared" ref="Z243:AS243" si="87">SUM(Z237:Z242)</f>
        <v>0</v>
      </c>
      <c r="AA243" s="519">
        <f t="shared" si="87"/>
        <v>0</v>
      </c>
      <c r="AB243" s="519">
        <f t="shared" si="87"/>
        <v>0</v>
      </c>
      <c r="AC243" s="519">
        <f t="shared" si="87"/>
        <v>0</v>
      </c>
      <c r="AD243" s="519">
        <f t="shared" si="87"/>
        <v>0</v>
      </c>
      <c r="AE243" s="519">
        <f t="shared" si="87"/>
        <v>-110651507.27837408</v>
      </c>
      <c r="AF243" s="519">
        <f t="shared" si="87"/>
        <v>424163.73</v>
      </c>
      <c r="AG243" s="519">
        <f t="shared" si="87"/>
        <v>52167450.423619971</v>
      </c>
      <c r="AH243" s="519">
        <f t="shared" si="87"/>
        <v>24244937.780000035</v>
      </c>
      <c r="AI243" s="519">
        <f t="shared" si="87"/>
        <v>-280261.93000000005</v>
      </c>
      <c r="AJ243" s="519">
        <f t="shared" si="87"/>
        <v>4403069.303989986</v>
      </c>
      <c r="AK243" s="519">
        <f t="shared" si="87"/>
        <v>0</v>
      </c>
      <c r="AL243" s="519">
        <f t="shared" si="87"/>
        <v>0</v>
      </c>
      <c r="AM243" s="494">
        <f t="shared" si="87"/>
        <v>0</v>
      </c>
      <c r="AN243" s="494">
        <f t="shared" si="87"/>
        <v>0</v>
      </c>
      <c r="AO243" s="494">
        <f t="shared" si="87"/>
        <v>0</v>
      </c>
      <c r="AP243" s="519">
        <f t="shared" si="87"/>
        <v>0</v>
      </c>
      <c r="AQ243" s="519">
        <f t="shared" si="87"/>
        <v>-5170723.4230643986</v>
      </c>
      <c r="AR243" s="519">
        <f t="shared" si="87"/>
        <v>576639.62190245662</v>
      </c>
      <c r="AS243" s="1314">
        <f t="shared" si="87"/>
        <v>0</v>
      </c>
      <c r="AT243" s="519"/>
      <c r="AU243" s="519"/>
      <c r="AV243" s="519"/>
      <c r="AW243" s="519"/>
      <c r="AX243" s="519"/>
      <c r="AY243" s="519"/>
      <c r="AZ243" s="519"/>
      <c r="BB243" s="493">
        <f>SUM(BB237:BB242)</f>
        <v>-34286231.771925993</v>
      </c>
      <c r="BC243" s="493">
        <f>SUM(BC237:BC242)</f>
        <v>2866503992.9496732</v>
      </c>
      <c r="BD243" s="444"/>
      <c r="BE243" s="173"/>
      <c r="BF243" s="336"/>
    </row>
    <row r="244" spans="1:58" ht="15" outlineLevel="1" thickTop="1" x14ac:dyDescent="0.35">
      <c r="A244" s="336">
        <f t="shared" si="74"/>
        <v>47</v>
      </c>
      <c r="C244" s="516" t="s">
        <v>920</v>
      </c>
      <c r="D244" s="466"/>
      <c r="E244" s="1308"/>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c r="AF244" s="341"/>
      <c r="AG244" s="341"/>
      <c r="AH244" s="341"/>
      <c r="AI244" s="341"/>
      <c r="AJ244" s="341"/>
      <c r="AK244" s="341"/>
      <c r="AL244" s="341"/>
      <c r="AN244" s="341"/>
      <c r="AO244" s="341"/>
      <c r="AP244" s="341"/>
      <c r="AQ244" s="341"/>
      <c r="AR244" s="341"/>
      <c r="AS244" s="1308"/>
      <c r="AT244" s="341"/>
      <c r="AU244" s="341"/>
      <c r="AV244" s="341"/>
      <c r="AW244" s="341"/>
      <c r="AX244" s="341"/>
      <c r="AY244" s="341"/>
      <c r="AZ244" s="341"/>
      <c r="BB244" s="466"/>
      <c r="BC244" s="466"/>
      <c r="BD244" s="444"/>
      <c r="BE244" s="173"/>
      <c r="BF244" s="336"/>
    </row>
    <row r="245" spans="1:58" outlineLevel="1" x14ac:dyDescent="0.35">
      <c r="A245" s="336">
        <f t="shared" si="74"/>
        <v>48</v>
      </c>
      <c r="B245" s="329" t="s">
        <v>29</v>
      </c>
      <c r="C245" s="516" t="s">
        <v>920</v>
      </c>
      <c r="D245" s="496">
        <f>+'Def, COC, ConvF DPK-7 '!C13</f>
        <v>7.3575000000000002E-2</v>
      </c>
      <c r="E245" s="1315">
        <f>+'Def, COC, ConvF DPK-7 '!C13</f>
        <v>7.3575000000000002E-2</v>
      </c>
      <c r="F245" s="520">
        <f>+'Def, COC, ConvF DPK-7 '!C13</f>
        <v>7.3575000000000002E-2</v>
      </c>
      <c r="G245" s="520">
        <f>+'Def, COC, ConvF DPK-7 '!C13</f>
        <v>7.3575000000000002E-2</v>
      </c>
      <c r="H245" s="520">
        <f>+'Def, COC, ConvF DPK-7 '!C13</f>
        <v>7.3575000000000002E-2</v>
      </c>
      <c r="I245" s="520">
        <f>+'Def, COC, ConvF DPK-7 '!C13</f>
        <v>7.3575000000000002E-2</v>
      </c>
      <c r="J245" s="520">
        <f>+'Def, COC, ConvF DPK-7 '!C13</f>
        <v>7.3575000000000002E-2</v>
      </c>
      <c r="K245" s="520">
        <f>+'Def, COC, ConvF DPK-7 '!C13</f>
        <v>7.3575000000000002E-2</v>
      </c>
      <c r="L245" s="520">
        <f>+'Def, COC, ConvF DPK-7 '!C13</f>
        <v>7.3575000000000002E-2</v>
      </c>
      <c r="M245" s="520">
        <f>+'Def, COC, ConvF DPK-7 '!C13</f>
        <v>7.3575000000000002E-2</v>
      </c>
      <c r="N245" s="520">
        <f>+'Def, COC, ConvF DPK-7 '!C13</f>
        <v>7.3575000000000002E-2</v>
      </c>
      <c r="O245" s="520">
        <f>+'Def, COC, ConvF DPK-7 '!C13</f>
        <v>7.3575000000000002E-2</v>
      </c>
      <c r="P245" s="520">
        <f>+'Def, COC, ConvF DPK-7 '!C13</f>
        <v>7.3575000000000002E-2</v>
      </c>
      <c r="Q245" s="520">
        <f>+'Def, COC, ConvF DPK-7 '!C13</f>
        <v>7.3575000000000002E-2</v>
      </c>
      <c r="R245" s="520">
        <f>+'Def, COC, ConvF DPK-7 '!C13</f>
        <v>7.3575000000000002E-2</v>
      </c>
      <c r="S245" s="520">
        <f>+'Def, COC, ConvF DPK-7 '!C13</f>
        <v>7.3575000000000002E-2</v>
      </c>
      <c r="T245" s="520">
        <f>+'Def, COC, ConvF DPK-7 '!C13</f>
        <v>7.3575000000000002E-2</v>
      </c>
      <c r="U245" s="520">
        <f>+'Def, COC, ConvF DPK-7 '!C13</f>
        <v>7.3575000000000002E-2</v>
      </c>
      <c r="V245" s="520">
        <f>+'Def, COC, ConvF DPK-7 '!C13</f>
        <v>7.3575000000000002E-2</v>
      </c>
      <c r="W245" s="520">
        <f>+'Def, COC, ConvF DPK-7 '!C13</f>
        <v>7.3575000000000002E-2</v>
      </c>
      <c r="X245" s="520">
        <f>+'Def, COC, ConvF DPK-7 '!C13</f>
        <v>7.3575000000000002E-2</v>
      </c>
      <c r="Y245" s="520">
        <f>+'Def, COC, ConvF DPK-7 '!C13</f>
        <v>7.3575000000000002E-2</v>
      </c>
      <c r="Z245" s="520">
        <f>+'Def, COC, ConvF DPK-7 '!C13</f>
        <v>7.3575000000000002E-2</v>
      </c>
      <c r="AA245" s="520">
        <f>+'Def, COC, ConvF DPK-7 '!C13</f>
        <v>7.3575000000000002E-2</v>
      </c>
      <c r="AB245" s="520">
        <f>+'Def, COC, ConvF DPK-7 '!C13</f>
        <v>7.3575000000000002E-2</v>
      </c>
      <c r="AC245" s="520">
        <f>+'Def, COC, ConvF DPK-7 '!C13</f>
        <v>7.3575000000000002E-2</v>
      </c>
      <c r="AD245" s="520">
        <f>+'Def, COC, ConvF DPK-7 '!C13</f>
        <v>7.3575000000000002E-2</v>
      </c>
      <c r="AE245" s="520">
        <f>+'Def, COC, ConvF DPK-7 '!C13</f>
        <v>7.3575000000000002E-2</v>
      </c>
      <c r="AF245" s="520">
        <f>+'Def, COC, ConvF DPK-7 '!C13</f>
        <v>7.3575000000000002E-2</v>
      </c>
      <c r="AG245" s="520">
        <f>+'Def, COC, ConvF DPK-7 '!$C$13</f>
        <v>7.3575000000000002E-2</v>
      </c>
      <c r="AH245" s="520">
        <f>+'Def, COC, ConvF DPK-7 '!$C$13</f>
        <v>7.3575000000000002E-2</v>
      </c>
      <c r="AI245" s="520">
        <f>+'Def, COC, ConvF DPK-7 '!$C$13</f>
        <v>7.3575000000000002E-2</v>
      </c>
      <c r="AJ245" s="520">
        <f>+'Def, COC, ConvF DPK-7 '!$C$13</f>
        <v>7.3575000000000002E-2</v>
      </c>
      <c r="AK245" s="520">
        <f>+'Def, COC, ConvF DPK-7 '!C13</f>
        <v>7.3575000000000002E-2</v>
      </c>
      <c r="AL245" s="520">
        <f>+'Def, COC, ConvF DPK-7 '!C13</f>
        <v>7.3575000000000002E-2</v>
      </c>
      <c r="AM245" s="497">
        <f>+'Def, COC, ConvF DPK-7 '!$C$13</f>
        <v>7.3575000000000002E-2</v>
      </c>
      <c r="AN245" s="497">
        <f>+'Def, COC, ConvF DPK-7 '!$C$13</f>
        <v>7.3575000000000002E-2</v>
      </c>
      <c r="AO245" s="497">
        <f>+'Def, COC, ConvF DPK-7 '!$C$13</f>
        <v>7.3575000000000002E-2</v>
      </c>
      <c r="AP245" s="520">
        <f>+'Def, COC, ConvF DPK-7 '!C13</f>
        <v>7.3575000000000002E-2</v>
      </c>
      <c r="AQ245" s="520">
        <f>+'Def, COC, ConvF DPK-7 '!C13</f>
        <v>7.3575000000000002E-2</v>
      </c>
      <c r="AR245" s="520">
        <f>+'Def, COC, ConvF DPK-7 '!C13</f>
        <v>7.3575000000000002E-2</v>
      </c>
      <c r="AS245" s="1315">
        <f>+AR245</f>
        <v>7.3575000000000002E-2</v>
      </c>
      <c r="AT245" s="520"/>
      <c r="AU245" s="520"/>
      <c r="AV245" s="520"/>
      <c r="AW245" s="520"/>
      <c r="AX245" s="520"/>
      <c r="AY245" s="520"/>
      <c r="AZ245" s="520"/>
      <c r="BB245" s="496">
        <f>+'Def, COC, ConvF DPK-7 '!C13</f>
        <v>7.3575000000000002E-2</v>
      </c>
      <c r="BC245" s="496">
        <f>+'Def, COC, ConvF DPK-7 '!C13</f>
        <v>7.3575000000000002E-2</v>
      </c>
      <c r="BD245" s="444"/>
      <c r="BE245" s="173"/>
      <c r="BF245" s="336"/>
    </row>
    <row r="246" spans="1:58" outlineLevel="1" x14ac:dyDescent="0.35">
      <c r="A246" s="336">
        <f t="shared" si="74"/>
        <v>49</v>
      </c>
      <c r="B246" s="329" t="s">
        <v>23</v>
      </c>
      <c r="C246" s="516" t="s">
        <v>920</v>
      </c>
      <c r="D246" s="466">
        <f>+'Def, COC, ConvF DPK-7 '!P20</f>
        <v>0.75421300000000002</v>
      </c>
      <c r="E246" s="1308">
        <f>+'Def, COC, ConvF DPK-7 '!P20</f>
        <v>0.75421300000000002</v>
      </c>
      <c r="F246" s="341">
        <f>+'Def, COC, ConvF DPK-7 '!P20</f>
        <v>0.75421300000000002</v>
      </c>
      <c r="G246" s="341">
        <f>+'Def, COC, ConvF DPK-7 '!P20</f>
        <v>0.75421300000000002</v>
      </c>
      <c r="H246" s="341">
        <f>+'Def, COC, ConvF DPK-7 '!P20</f>
        <v>0.75421300000000002</v>
      </c>
      <c r="I246" s="341">
        <f>+'Def, COC, ConvF DPK-7 '!P20</f>
        <v>0.75421300000000002</v>
      </c>
      <c r="J246" s="341">
        <f>+'Def, COC, ConvF DPK-7 '!P20</f>
        <v>0.75421300000000002</v>
      </c>
      <c r="K246" s="341">
        <f>+'Def, COC, ConvF DPK-7 '!P20</f>
        <v>0.75421300000000002</v>
      </c>
      <c r="L246" s="341">
        <f>+'Def, COC, ConvF DPK-7 '!P20</f>
        <v>0.75421300000000002</v>
      </c>
      <c r="M246" s="341">
        <f>+'Def, COC, ConvF DPK-7 '!P20</f>
        <v>0.75421300000000002</v>
      </c>
      <c r="N246" s="341">
        <f>+'Def, COC, ConvF DPK-7 '!P20</f>
        <v>0.75421300000000002</v>
      </c>
      <c r="O246" s="341">
        <f>+'Def, COC, ConvF DPK-7 '!P20</f>
        <v>0.75421300000000002</v>
      </c>
      <c r="P246" s="341">
        <f>+'Def, COC, ConvF DPK-7 '!P20</f>
        <v>0.75421300000000002</v>
      </c>
      <c r="Q246" s="341">
        <f>+'Def, COC, ConvF DPK-7 '!P20</f>
        <v>0.75421300000000002</v>
      </c>
      <c r="R246" s="341">
        <f>+'Def, COC, ConvF DPK-7 '!P20</f>
        <v>0.75421300000000002</v>
      </c>
      <c r="S246" s="341">
        <f>+'Def, COC, ConvF DPK-7 '!P20</f>
        <v>0.75421300000000002</v>
      </c>
      <c r="T246" s="341">
        <f>+'Def, COC, ConvF DPK-7 '!P20</f>
        <v>0.75421300000000002</v>
      </c>
      <c r="U246" s="341">
        <f>+'Def, COC, ConvF DPK-7 '!P20</f>
        <v>0.75421300000000002</v>
      </c>
      <c r="V246" s="341">
        <f>+'Def, COC, ConvF DPK-7 '!P20</f>
        <v>0.75421300000000002</v>
      </c>
      <c r="W246" s="341">
        <f>+'Def, COC, ConvF DPK-7 '!P20</f>
        <v>0.75421300000000002</v>
      </c>
      <c r="X246" s="341">
        <f>+'Def, COC, ConvF DPK-7 '!P20</f>
        <v>0.75421300000000002</v>
      </c>
      <c r="Y246" s="341">
        <f>+'Def, COC, ConvF DPK-7 '!P20</f>
        <v>0.75421300000000002</v>
      </c>
      <c r="Z246" s="341">
        <f>+'Def, COC, ConvF DPK-7 '!P20</f>
        <v>0.75421300000000002</v>
      </c>
      <c r="AA246" s="341">
        <f>+'Def, COC, ConvF DPK-7 '!P20</f>
        <v>0.75421300000000002</v>
      </c>
      <c r="AB246" s="341">
        <f>+'Def, COC, ConvF DPK-7 '!P20</f>
        <v>0.75421300000000002</v>
      </c>
      <c r="AC246" s="341">
        <f>+'Def, COC, ConvF DPK-7 '!P20</f>
        <v>0.75421300000000002</v>
      </c>
      <c r="AD246" s="341">
        <f>+'Def, COC, ConvF DPK-7 '!P20</f>
        <v>0.75421300000000002</v>
      </c>
      <c r="AE246" s="341">
        <f>+'Def, COC, ConvF DPK-7 '!P20</f>
        <v>0.75421300000000002</v>
      </c>
      <c r="AF246" s="341">
        <f>+'Def, COC, ConvF DPK-7 '!P20</f>
        <v>0.75421300000000002</v>
      </c>
      <c r="AG246" s="341">
        <f>+'Def, COC, ConvF DPK-7 '!$P$20</f>
        <v>0.75421300000000002</v>
      </c>
      <c r="AH246" s="341">
        <f>+'Def, COC, ConvF DPK-7 '!$P$20</f>
        <v>0.75421300000000002</v>
      </c>
      <c r="AI246" s="341">
        <f>+'Def, COC, ConvF DPK-7 '!$P$20</f>
        <v>0.75421300000000002</v>
      </c>
      <c r="AJ246" s="341">
        <f>+'Def, COC, ConvF DPK-7 '!$P$20</f>
        <v>0.75421300000000002</v>
      </c>
      <c r="AK246" s="341">
        <f>+'Def, COC, ConvF DPK-7 '!P20</f>
        <v>0.75421300000000002</v>
      </c>
      <c r="AL246" s="341">
        <f>+'Def, COC, ConvF DPK-7 '!P20</f>
        <v>0.75421300000000002</v>
      </c>
      <c r="AM246" s="329">
        <f>+'Def, COC, ConvF DPK-7 '!$P$20</f>
        <v>0.75421300000000002</v>
      </c>
      <c r="AN246" s="329">
        <f>+'Def, COC, ConvF DPK-7 '!$P$20</f>
        <v>0.75421300000000002</v>
      </c>
      <c r="AO246" s="329">
        <f>+'Def, COC, ConvF DPK-7 '!$P$20</f>
        <v>0.75421300000000002</v>
      </c>
      <c r="AP246" s="341">
        <f>+'Def, COC, ConvF DPK-7 '!P20</f>
        <v>0.75421300000000002</v>
      </c>
      <c r="AQ246" s="341">
        <f>+'Def, COC, ConvF DPK-7 '!P20</f>
        <v>0.75421300000000002</v>
      </c>
      <c r="AR246" s="341">
        <f>+'Def, COC, ConvF DPK-7 '!P20</f>
        <v>0.75421300000000002</v>
      </c>
      <c r="AS246" s="1308">
        <f>+'Def, COC, ConvF DPK-7 '!P18</f>
        <v>0.95469999999999999</v>
      </c>
      <c r="AT246" s="341"/>
      <c r="AU246" s="341"/>
      <c r="AV246" s="341"/>
      <c r="AW246" s="341"/>
      <c r="AX246" s="341"/>
      <c r="AY246" s="341"/>
      <c r="AZ246" s="341"/>
      <c r="BB246" s="466">
        <f>+'Def, COC, ConvF DPK-7 '!P20</f>
        <v>0.75421300000000002</v>
      </c>
      <c r="BC246" s="466">
        <f>+'Def, COC, ConvF DPK-7 '!P20</f>
        <v>0.75421300000000002</v>
      </c>
      <c r="BD246" s="444"/>
      <c r="BE246" s="173"/>
      <c r="BF246" s="336"/>
    </row>
    <row r="247" spans="1:58" outlineLevel="1" x14ac:dyDescent="0.35">
      <c r="A247" s="336">
        <f t="shared" si="74"/>
        <v>50</v>
      </c>
      <c r="B247" s="329" t="s">
        <v>186</v>
      </c>
      <c r="C247" s="516" t="s">
        <v>920</v>
      </c>
      <c r="D247" s="470">
        <f>+D230-(D243*D245)</f>
        <v>-86588391.205944568</v>
      </c>
      <c r="E247" s="1316">
        <f t="shared" ref="E247:AS247" si="88">+E230-(E243*E245)</f>
        <v>-2718384.2726579998</v>
      </c>
      <c r="F247" s="356">
        <f t="shared" si="88"/>
        <v>0</v>
      </c>
      <c r="G247" s="356">
        <f t="shared" si="88"/>
        <v>0</v>
      </c>
      <c r="H247" s="356">
        <f t="shared" si="88"/>
        <v>3984285.403344369</v>
      </c>
      <c r="I247" s="356">
        <f t="shared" si="88"/>
        <v>532996.14814697567</v>
      </c>
      <c r="J247" s="356">
        <f t="shared" si="88"/>
        <v>0</v>
      </c>
      <c r="K247" s="356">
        <f t="shared" si="88"/>
        <v>0</v>
      </c>
      <c r="L247" s="356">
        <f t="shared" si="88"/>
        <v>0</v>
      </c>
      <c r="M247" s="356">
        <f t="shared" si="88"/>
        <v>0</v>
      </c>
      <c r="N247" s="356">
        <f t="shared" si="88"/>
        <v>0</v>
      </c>
      <c r="O247" s="356">
        <f t="shared" si="88"/>
        <v>-19246.648578410714</v>
      </c>
      <c r="P247" s="356">
        <f t="shared" si="88"/>
        <v>0</v>
      </c>
      <c r="Q247" s="356">
        <f t="shared" si="88"/>
        <v>0</v>
      </c>
      <c r="R247" s="356">
        <f t="shared" si="88"/>
        <v>0</v>
      </c>
      <c r="S247" s="356">
        <f t="shared" si="88"/>
        <v>0</v>
      </c>
      <c r="T247" s="356">
        <f t="shared" si="88"/>
        <v>0</v>
      </c>
      <c r="U247" s="356">
        <f t="shared" si="88"/>
        <v>0</v>
      </c>
      <c r="V247" s="356">
        <f t="shared" si="88"/>
        <v>0</v>
      </c>
      <c r="W247" s="356">
        <f t="shared" si="88"/>
        <v>0</v>
      </c>
      <c r="X247" s="356">
        <f t="shared" si="88"/>
        <v>0</v>
      </c>
      <c r="Y247" s="356">
        <f t="shared" si="88"/>
        <v>0</v>
      </c>
      <c r="Z247" s="356">
        <f t="shared" si="88"/>
        <v>-3301998.5104280058</v>
      </c>
      <c r="AA247" s="356">
        <f t="shared" si="88"/>
        <v>0</v>
      </c>
      <c r="AB247" s="356">
        <f t="shared" si="88"/>
        <v>-3727575.3505524765</v>
      </c>
      <c r="AC247" s="356">
        <f t="shared" si="88"/>
        <v>1366472.8491678936</v>
      </c>
      <c r="AD247" s="356">
        <f t="shared" si="88"/>
        <v>0</v>
      </c>
      <c r="AE247" s="356">
        <f t="shared" si="88"/>
        <v>-45103403.446617655</v>
      </c>
      <c r="AF247" s="356">
        <f t="shared" si="88"/>
        <v>465896.32766525086</v>
      </c>
      <c r="AG247" s="356">
        <f t="shared" si="88"/>
        <v>-12257222.24557524</v>
      </c>
      <c r="AH247" s="356">
        <f t="shared" si="88"/>
        <v>-5459670.298963502</v>
      </c>
      <c r="AI247" s="356">
        <f t="shared" si="88"/>
        <v>-334814.37180024997</v>
      </c>
      <c r="AJ247" s="356">
        <f t="shared" si="88"/>
        <v>-7575797.2604289632</v>
      </c>
      <c r="AK247" s="356">
        <f t="shared" si="88"/>
        <v>0</v>
      </c>
      <c r="AL247" s="356">
        <f t="shared" si="88"/>
        <v>-1898572.9427632273</v>
      </c>
      <c r="AM247" s="356">
        <f t="shared" si="88"/>
        <v>-48980</v>
      </c>
      <c r="AN247" s="356">
        <f t="shared" si="88"/>
        <v>0</v>
      </c>
      <c r="AO247" s="356">
        <f t="shared" si="88"/>
        <v>-318969.52152150846</v>
      </c>
      <c r="AP247" s="356">
        <f t="shared" si="88"/>
        <v>0</v>
      </c>
      <c r="AQ247" s="356">
        <f t="shared" si="88"/>
        <v>370236.87098004948</v>
      </c>
      <c r="AR247" s="356">
        <f t="shared" si="88"/>
        <v>479668.94427377777</v>
      </c>
      <c r="AS247" s="1316">
        <f t="shared" si="88"/>
        <v>-3852325</v>
      </c>
      <c r="AT247" s="356"/>
      <c r="AU247" s="356"/>
      <c r="AV247" s="356"/>
      <c r="AW247" s="356"/>
      <c r="AX247" s="356"/>
      <c r="AY247" s="356"/>
      <c r="AZ247" s="356"/>
      <c r="BB247" s="470">
        <f>SUM(E247:AZ247)</f>
        <v>-79417403.326308906</v>
      </c>
      <c r="BC247" s="470">
        <f>+BC230-(BC243*BC245)</f>
        <v>-166005794.53225347</v>
      </c>
      <c r="BD247" s="444"/>
      <c r="BE247" s="173"/>
      <c r="BF247" s="336"/>
    </row>
    <row r="248" spans="1:58" outlineLevel="1" x14ac:dyDescent="0.35">
      <c r="A248" s="336">
        <f t="shared" si="74"/>
        <v>51</v>
      </c>
      <c r="B248" s="329" t="s">
        <v>187</v>
      </c>
      <c r="C248" s="516" t="s">
        <v>920</v>
      </c>
      <c r="D248" s="470">
        <f>-D247/D246</f>
        <v>114806283.11358272</v>
      </c>
      <c r="E248" s="1316">
        <f t="shared" ref="E248:AS248" si="89">-E247/E246</f>
        <v>3604265.9999999995</v>
      </c>
      <c r="F248" s="356">
        <f t="shared" si="89"/>
        <v>0</v>
      </c>
      <c r="G248" s="356">
        <f t="shared" si="89"/>
        <v>0</v>
      </c>
      <c r="H248" s="356">
        <f t="shared" si="89"/>
        <v>-5282705.8183091106</v>
      </c>
      <c r="I248" s="356">
        <f t="shared" si="89"/>
        <v>-706691.80741644022</v>
      </c>
      <c r="J248" s="356">
        <f t="shared" si="89"/>
        <v>0</v>
      </c>
      <c r="K248" s="356">
        <f t="shared" si="89"/>
        <v>0</v>
      </c>
      <c r="L248" s="356">
        <f t="shared" si="89"/>
        <v>0</v>
      </c>
      <c r="M248" s="356">
        <f t="shared" si="89"/>
        <v>0</v>
      </c>
      <c r="N248" s="356">
        <f t="shared" si="89"/>
        <v>0</v>
      </c>
      <c r="O248" s="356">
        <f t="shared" si="89"/>
        <v>25518.850216597584</v>
      </c>
      <c r="P248" s="356">
        <f t="shared" si="89"/>
        <v>0</v>
      </c>
      <c r="Q248" s="356">
        <f t="shared" si="89"/>
        <v>0</v>
      </c>
      <c r="R248" s="356">
        <f t="shared" si="89"/>
        <v>0</v>
      </c>
      <c r="S248" s="356">
        <f t="shared" si="89"/>
        <v>0</v>
      </c>
      <c r="T248" s="356">
        <f t="shared" si="89"/>
        <v>0</v>
      </c>
      <c r="U248" s="356">
        <f t="shared" si="89"/>
        <v>0</v>
      </c>
      <c r="V248" s="356">
        <f t="shared" si="89"/>
        <v>0</v>
      </c>
      <c r="W248" s="356">
        <f t="shared" si="89"/>
        <v>0</v>
      </c>
      <c r="X248" s="356">
        <f t="shared" si="89"/>
        <v>0</v>
      </c>
      <c r="Y248" s="356">
        <f t="shared" si="89"/>
        <v>0</v>
      </c>
      <c r="Z248" s="356">
        <f t="shared" si="89"/>
        <v>4378071.593075173</v>
      </c>
      <c r="AA248" s="356">
        <f t="shared" si="89"/>
        <v>0</v>
      </c>
      <c r="AB248" s="356">
        <f t="shared" si="89"/>
        <v>4942337.7090456896</v>
      </c>
      <c r="AC248" s="356">
        <f t="shared" si="89"/>
        <v>-1811786.3908045786</v>
      </c>
      <c r="AD248" s="356">
        <f t="shared" si="89"/>
        <v>0</v>
      </c>
      <c r="AE248" s="356">
        <f t="shared" si="89"/>
        <v>59801943.809795976</v>
      </c>
      <c r="AF248" s="356">
        <f t="shared" si="89"/>
        <v>-617725.13555885514</v>
      </c>
      <c r="AG248" s="356">
        <f t="shared" si="89"/>
        <v>16251671.935613997</v>
      </c>
      <c r="AH248" s="356">
        <f t="shared" si="89"/>
        <v>7238897.1006380189</v>
      </c>
      <c r="AI248" s="356">
        <f t="shared" si="89"/>
        <v>443925.4849760611</v>
      </c>
      <c r="AJ248" s="356">
        <f t="shared" si="89"/>
        <v>10044638.928829074</v>
      </c>
      <c r="AK248" s="356">
        <f t="shared" si="89"/>
        <v>0</v>
      </c>
      <c r="AL248" s="356">
        <f t="shared" si="89"/>
        <v>2517290.1325795595</v>
      </c>
      <c r="AM248" s="356">
        <f t="shared" si="89"/>
        <v>64941.866554938722</v>
      </c>
      <c r="AN248" s="356">
        <f t="shared" si="89"/>
        <v>0</v>
      </c>
      <c r="AO248" s="356">
        <f t="shared" si="89"/>
        <v>422917.0294353299</v>
      </c>
      <c r="AP248" s="356">
        <f t="shared" si="89"/>
        <v>0</v>
      </c>
      <c r="AQ248" s="356">
        <f t="shared" si="89"/>
        <v>-490891.65922630538</v>
      </c>
      <c r="AR248" s="356">
        <f t="shared" si="89"/>
        <v>-635986.04674512078</v>
      </c>
      <c r="AS248" s="1316">
        <f t="shared" si="89"/>
        <v>4035115.7431653924</v>
      </c>
      <c r="AT248" s="356"/>
      <c r="AU248" s="356"/>
      <c r="AV248" s="356"/>
      <c r="AW248" s="356"/>
      <c r="AX248" s="356"/>
      <c r="AY248" s="356"/>
      <c r="AZ248" s="356"/>
      <c r="BB248" s="470">
        <f>-BB247/BB246</f>
        <v>105298375.02974479</v>
      </c>
      <c r="BC248" s="470">
        <f>-BC247/BC246</f>
        <v>220104658.1433275</v>
      </c>
      <c r="BD248" s="444"/>
      <c r="BE248" s="173"/>
      <c r="BF248" s="336"/>
    </row>
    <row r="249" spans="1:58" outlineLevel="1" x14ac:dyDescent="0.35">
      <c r="A249" s="336">
        <f t="shared" si="74"/>
        <v>52</v>
      </c>
      <c r="B249" s="329" t="s">
        <v>42</v>
      </c>
      <c r="C249" s="516" t="s">
        <v>920</v>
      </c>
      <c r="D249" s="470"/>
      <c r="E249" s="131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265"/>
      <c r="AN249" s="356"/>
      <c r="AO249" s="356"/>
      <c r="AP249" s="356"/>
      <c r="AQ249" s="356"/>
      <c r="AR249" s="356"/>
      <c r="AS249" s="1316"/>
      <c r="AT249" s="356"/>
      <c r="AU249" s="356"/>
      <c r="AV249" s="356"/>
      <c r="AW249" s="356"/>
      <c r="AX249" s="356"/>
      <c r="AY249" s="356"/>
      <c r="AZ249" s="356"/>
      <c r="BB249" s="470"/>
      <c r="BC249" s="470">
        <f>BC188</f>
        <v>0</v>
      </c>
      <c r="BD249" s="444"/>
      <c r="BE249" s="173"/>
      <c r="BF249" s="336"/>
    </row>
    <row r="250" spans="1:58" outlineLevel="1" x14ac:dyDescent="0.35">
      <c r="A250" s="336">
        <f t="shared" si="74"/>
        <v>53</v>
      </c>
      <c r="B250" s="329" t="s">
        <v>43</v>
      </c>
      <c r="C250" s="516" t="s">
        <v>920</v>
      </c>
      <c r="D250" s="470"/>
      <c r="E250" s="131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265"/>
      <c r="AN250" s="356"/>
      <c r="AO250" s="356"/>
      <c r="AP250" s="356"/>
      <c r="AQ250" s="356"/>
      <c r="AR250" s="356"/>
      <c r="AS250" s="1316"/>
      <c r="AT250" s="356"/>
      <c r="AU250" s="356"/>
      <c r="AV250" s="356"/>
      <c r="AW250" s="356"/>
      <c r="AX250" s="356"/>
      <c r="AY250" s="356"/>
      <c r="AZ250" s="356"/>
      <c r="BB250" s="470"/>
      <c r="BC250" s="512">
        <f>SUM(BC248:BC249)</f>
        <v>220104658.1433275</v>
      </c>
      <c r="BD250" s="444"/>
      <c r="BE250" s="173"/>
      <c r="BF250" s="336"/>
    </row>
    <row r="251" spans="1:58" outlineLevel="1" x14ac:dyDescent="0.35">
      <c r="A251" s="336">
        <f t="shared" si="74"/>
        <v>54</v>
      </c>
      <c r="C251" s="516" t="s">
        <v>920</v>
      </c>
      <c r="D251" s="498"/>
      <c r="E251" s="1316"/>
      <c r="F251" s="356"/>
      <c r="G251" s="356"/>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265"/>
      <c r="AN251" s="356"/>
      <c r="AO251" s="356"/>
      <c r="AP251" s="356"/>
      <c r="AQ251" s="356"/>
      <c r="AR251" s="356"/>
      <c r="AS251" s="1316"/>
      <c r="AT251" s="356"/>
      <c r="AU251" s="356"/>
      <c r="AV251" s="356"/>
      <c r="AW251" s="356"/>
      <c r="AX251" s="356"/>
      <c r="AY251" s="356"/>
      <c r="AZ251" s="356"/>
      <c r="BB251" s="498"/>
      <c r="BC251" s="498"/>
      <c r="BD251" s="444"/>
      <c r="BE251" s="173"/>
      <c r="BF251" s="336"/>
    </row>
    <row r="252" spans="1:58" outlineLevel="1" x14ac:dyDescent="0.35">
      <c r="A252" s="336">
        <f t="shared" si="74"/>
        <v>55</v>
      </c>
      <c r="C252" s="516" t="s">
        <v>920</v>
      </c>
      <c r="E252" s="1279"/>
      <c r="AS252" s="1279"/>
      <c r="BB252" s="497">
        <f>+'Def, COC, ConvF DPK-7 '!K27</f>
        <v>7.3575000000000002E-2</v>
      </c>
      <c r="BC252" s="497">
        <f>+'Def, COC, ConvF DPK-7 '!K27</f>
        <v>7.3575000000000002E-2</v>
      </c>
      <c r="BD252" s="444"/>
      <c r="BE252" s="173"/>
      <c r="BF252" s="336"/>
    </row>
    <row r="253" spans="1:58" outlineLevel="1" x14ac:dyDescent="0.35">
      <c r="A253" s="336">
        <f t="shared" si="74"/>
        <v>56</v>
      </c>
      <c r="B253" s="499" t="s">
        <v>939</v>
      </c>
      <c r="C253" s="516" t="s">
        <v>920</v>
      </c>
      <c r="D253" s="500"/>
      <c r="E253" s="1304">
        <f>ROUND('Common Adj'!K$71-E230,0)+E232</f>
        <v>0</v>
      </c>
      <c r="F253" s="551">
        <f>ROUND('Common Adj'!AC$65-F230,0)+F232</f>
        <v>0</v>
      </c>
      <c r="G253" s="551">
        <f>ROUND('Common Adj'!AU$30-G230,0)+G232</f>
        <v>0</v>
      </c>
      <c r="H253" s="551">
        <f>ROUND('Common Adj'!BM$22-H230,0)+ROUND('Common Adj'!BM$24-H232,0)</f>
        <v>0</v>
      </c>
      <c r="I253" s="551">
        <f>ROUND('Common Adj'!CE$24-I230,0)+I232</f>
        <v>0</v>
      </c>
      <c r="J253" s="551">
        <f>ROUND('Common Adj'!CW$20-J230,0)+J232</f>
        <v>0</v>
      </c>
      <c r="K253" s="551">
        <f>ROUND('Common Adj'!DO$22-K230,0)+K232</f>
        <v>0</v>
      </c>
      <c r="L253" s="551">
        <f>ROUND('Common Adj'!EG$21-L230,0)+L232</f>
        <v>0</v>
      </c>
      <c r="M253" s="551">
        <f>ROUND('Common Adj'!EY$27-M230,0)+M232</f>
        <v>0</v>
      </c>
      <c r="N253" s="551">
        <f>ROUND('Common Adj'!FQ$23-N230,0)+N232</f>
        <v>0</v>
      </c>
      <c r="O253" s="551">
        <f>ROUND('Common Adj'!GI$32-O230,0)+O232</f>
        <v>0</v>
      </c>
      <c r="P253" s="551">
        <f>ROUND('Common Adj'!HA$36-P230,0)+P232</f>
        <v>0</v>
      </c>
      <c r="Q253" s="551">
        <f>ROUND('Common Adj'!HS$18-Q230,0)+Q232</f>
        <v>0</v>
      </c>
      <c r="R253" s="551">
        <f>ROUND('Common Adj'!IK$21-R230,0)+R232</f>
        <v>0</v>
      </c>
      <c r="S253" s="551">
        <f>ROUND('Common Adj'!JC$22-S230,0)+S232</f>
        <v>0</v>
      </c>
      <c r="T253" s="551">
        <f>ROUND('Common Adj'!JU$23-T230,0)+T232</f>
        <v>0</v>
      </c>
      <c r="U253" s="551">
        <f>ROUND('Common Adj'!KM$20-U230,0)+U232</f>
        <v>0</v>
      </c>
      <c r="V253" s="551">
        <f>ROUND('Common Adj'!LE$33-V230,0)+V232</f>
        <v>0</v>
      </c>
      <c r="W253" s="551">
        <f>ROUND('Common Adj'!LW$22-W232,0)+W230</f>
        <v>0</v>
      </c>
      <c r="X253" s="551">
        <f>ROUND('Common Adj'!MO$31-X230,0)+ROUND('Common Adj'!MO$36-X232,0)</f>
        <v>0</v>
      </c>
      <c r="Y253" s="551">
        <f>ROUND('Common Adj'!NG$22-Y230,0)+Y232</f>
        <v>0</v>
      </c>
      <c r="Z253" s="551">
        <f>ROUND('Common Adj'!NY$31-Z230,0)+Z232</f>
        <v>0</v>
      </c>
      <c r="AA253" s="551">
        <f>ROUND('Common Adj'!OQ$35-AA230,0)+ROUND('Common Adj'!OQ$24-AA232,0)</f>
        <v>0</v>
      </c>
      <c r="AB253" s="551">
        <f>ROUND('Common Adj'!PI$53-AB230,0)+ROUND('Common Adj'!PI$35-AB232,0)</f>
        <v>0</v>
      </c>
      <c r="AC253" s="551">
        <f>ROUND('Common Adj'!QA$21-AC230,0)+AC232</f>
        <v>0</v>
      </c>
      <c r="AD253" s="551">
        <f>ROUND('Common Adj'!QT19-AD232,0)</f>
        <v>0</v>
      </c>
      <c r="AE253" s="551">
        <f>ROUND('Common Adj'!RL31-AE230,0)+ROUND('Common Adj'!RL36-AE232,0)</f>
        <v>0</v>
      </c>
      <c r="AF253" s="551">
        <f>ROUND('Common Adj'!SD30-AF230,0)+ROUND('Common Adj'!SD35-AF232,0)</f>
        <v>0</v>
      </c>
      <c r="AG253" s="551">
        <f>ROUND('Common Adj'!$SV$26-AG230,0)+ROUND('Common Adj'!$SV$31-AG232,0)</f>
        <v>0</v>
      </c>
      <c r="AH253" s="551">
        <f>ROUND('Common Adj'!$SV$44-AH230,0)+ROUND('Common Adj'!$SV$49-AH232,0)</f>
        <v>0</v>
      </c>
      <c r="AI253" s="551">
        <f>ROUND('Common Adj'!$SV$62-AI230,0)+ROUND('Common Adj'!$SV$67-AI232,0)</f>
        <v>0</v>
      </c>
      <c r="AJ253" s="551">
        <f>ROUND('Common Adj'!$SV$80-AJ230,0)+ROUND('Common Adj'!$SV$85-AJ232,0)</f>
        <v>0</v>
      </c>
      <c r="AK253" s="551">
        <f>ROUND('Common Adj'!UH$38-AK230,0)</f>
        <v>0</v>
      </c>
      <c r="AL253" s="551">
        <f>ROUND('Common Adj'!VA$27-AL230,0)+ROUND('Common Adj'!VA$19-AL232,0)</f>
        <v>0</v>
      </c>
      <c r="AM253" s="551">
        <f>ROUND('Common Adj'!TO$25-AM230,0)</f>
        <v>0</v>
      </c>
      <c r="AN253" s="551">
        <f>ROUND('Common Adj'!VT32-AN230,0)+ROUND(AN243-'Common Adj'!VT24,0)</f>
        <v>0</v>
      </c>
      <c r="AO253" s="551">
        <f>ROUND('Common Adj'!WI21-AO230,0)</f>
        <v>0</v>
      </c>
      <c r="AP253" s="551">
        <f>ROUND('Gas Adj'!BM$49-AP232,0)+ROUND('Gas Adj'!BM$33-AP230,0)</f>
        <v>0</v>
      </c>
      <c r="AQ253" s="551">
        <f>ROUND('Gas Adj'!CE$47-AQ230,0)+ROUND('Gas Adj'!CE$27-AQ232,0)</f>
        <v>0</v>
      </c>
      <c r="AR253" s="551">
        <f>ROUND('Gas Adj'!CW22-AR230+'Gas Adj'!CW31-AR232,0)</f>
        <v>0</v>
      </c>
      <c r="AS253" s="1304"/>
      <c r="AT253" s="547"/>
      <c r="AU253" s="548"/>
      <c r="AV253" s="549"/>
      <c r="AW253" s="549"/>
      <c r="AX253" s="549"/>
      <c r="AY253" s="549"/>
      <c r="AZ253" s="549"/>
      <c r="BB253" s="550"/>
      <c r="BC253" s="550"/>
      <c r="BD253" s="444"/>
      <c r="BF253" s="336"/>
    </row>
    <row r="254" spans="1:58" outlineLevel="1" x14ac:dyDescent="0.35">
      <c r="A254" s="336">
        <f t="shared" si="74"/>
        <v>57</v>
      </c>
      <c r="B254" s="499" t="s">
        <v>953</v>
      </c>
      <c r="C254" s="516" t="s">
        <v>920</v>
      </c>
      <c r="D254" s="551">
        <f>'Summary DPK-7 '!I47-D230</f>
        <v>0</v>
      </c>
      <c r="E254" s="1279"/>
      <c r="Z254" s="347"/>
      <c r="AS254" s="1279"/>
      <c r="BA254" s="329"/>
      <c r="BC254" s="551">
        <f>'Summary DPK-7 '!K47-BC230</f>
        <v>0</v>
      </c>
      <c r="BD254" s="444"/>
      <c r="BF254" s="336"/>
    </row>
    <row r="255" spans="1:58" outlineLevel="1" x14ac:dyDescent="0.35">
      <c r="B255" s="499" t="s">
        <v>954</v>
      </c>
      <c r="C255" s="516" t="s">
        <v>920</v>
      </c>
      <c r="D255" s="551">
        <f>'Summary DPK-7 '!I58-D243</f>
        <v>0</v>
      </c>
      <c r="E255" s="1279"/>
      <c r="AS255" s="1279"/>
      <c r="BA255" s="329"/>
      <c r="BC255" s="551">
        <f>'Summary DPK-7 '!K58-BC243</f>
        <v>0</v>
      </c>
      <c r="BD255" s="444"/>
      <c r="BF255" s="336"/>
    </row>
    <row r="256" spans="1:58" x14ac:dyDescent="0.35">
      <c r="A256" s="456"/>
      <c r="B256" s="503"/>
      <c r="C256" s="504"/>
      <c r="D256" s="462"/>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c r="AG256" s="456"/>
      <c r="AH256" s="456"/>
      <c r="AI256" s="456"/>
      <c r="AJ256" s="456"/>
      <c r="AK256" s="456"/>
      <c r="AL256" s="456"/>
      <c r="AM256" s="456"/>
      <c r="AN256" s="456"/>
      <c r="AO256" s="456"/>
      <c r="AP256" s="456"/>
      <c r="AQ256" s="456"/>
      <c r="AR256" s="456"/>
      <c r="AS256" s="456"/>
      <c r="AT256" s="456"/>
      <c r="AU256" s="456"/>
      <c r="AV256" s="456"/>
      <c r="AW256" s="456"/>
      <c r="AX256" s="456"/>
      <c r="AY256" s="456"/>
      <c r="AZ256" s="456"/>
      <c r="BB256" s="456"/>
      <c r="BC256" s="462"/>
      <c r="BD256" s="444"/>
      <c r="BF256" s="336"/>
    </row>
    <row r="257" spans="1:58" outlineLevel="1" x14ac:dyDescent="0.35">
      <c r="A257" s="456"/>
      <c r="B257" s="458"/>
      <c r="C257" s="459" t="s">
        <v>924</v>
      </c>
      <c r="D257" s="460"/>
      <c r="E257" s="461">
        <v>46357</v>
      </c>
      <c r="F257" s="461">
        <v>46357</v>
      </c>
      <c r="G257" s="461">
        <v>46357</v>
      </c>
      <c r="H257" s="461">
        <v>46357</v>
      </c>
      <c r="I257" s="461">
        <v>46357</v>
      </c>
      <c r="J257" s="461">
        <v>46357</v>
      </c>
      <c r="K257" s="461">
        <v>46357</v>
      </c>
      <c r="L257" s="461">
        <v>46357</v>
      </c>
      <c r="M257" s="461">
        <v>46357</v>
      </c>
      <c r="N257" s="461">
        <v>46357</v>
      </c>
      <c r="O257" s="461">
        <v>46357</v>
      </c>
      <c r="P257" s="461">
        <v>46357</v>
      </c>
      <c r="Q257" s="461">
        <v>46357</v>
      </c>
      <c r="R257" s="461">
        <v>46357</v>
      </c>
      <c r="S257" s="461">
        <v>46357</v>
      </c>
      <c r="T257" s="461">
        <v>46357</v>
      </c>
      <c r="U257" s="461">
        <v>46357</v>
      </c>
      <c r="V257" s="461">
        <v>46357</v>
      </c>
      <c r="W257" s="461">
        <v>46357</v>
      </c>
      <c r="X257" s="461">
        <v>46357</v>
      </c>
      <c r="Y257" s="461">
        <v>46357</v>
      </c>
      <c r="Z257" s="461">
        <v>46357</v>
      </c>
      <c r="AA257" s="461">
        <v>46357</v>
      </c>
      <c r="AB257" s="461">
        <v>46357</v>
      </c>
      <c r="AC257" s="461">
        <v>46357</v>
      </c>
      <c r="AD257" s="461">
        <v>46357</v>
      </c>
      <c r="AE257" s="461">
        <v>46357</v>
      </c>
      <c r="AF257" s="461">
        <v>46357</v>
      </c>
      <c r="AG257" s="461">
        <v>46357</v>
      </c>
      <c r="AH257" s="461">
        <v>46357</v>
      </c>
      <c r="AI257" s="461">
        <v>46357</v>
      </c>
      <c r="AJ257" s="461">
        <v>46357</v>
      </c>
      <c r="AK257" s="461">
        <v>46357</v>
      </c>
      <c r="AL257" s="461">
        <v>46357</v>
      </c>
      <c r="AM257" s="461">
        <v>46357</v>
      </c>
      <c r="AN257" s="461">
        <v>46357</v>
      </c>
      <c r="AO257" s="461">
        <v>46357</v>
      </c>
      <c r="AP257" s="461">
        <v>46357</v>
      </c>
      <c r="AQ257" s="461">
        <v>46357</v>
      </c>
      <c r="AR257" s="461">
        <v>46357</v>
      </c>
      <c r="AS257" s="461">
        <v>46357</v>
      </c>
      <c r="AT257" s="461">
        <v>46357</v>
      </c>
      <c r="AU257" s="461">
        <v>46357</v>
      </c>
      <c r="AV257" s="461">
        <v>46357</v>
      </c>
      <c r="AW257" s="461">
        <v>46357</v>
      </c>
      <c r="AX257" s="461">
        <v>46357</v>
      </c>
      <c r="AY257" s="461">
        <v>46357</v>
      </c>
      <c r="AZ257" s="461">
        <v>46357</v>
      </c>
      <c r="BB257" s="461">
        <v>46357</v>
      </c>
      <c r="BC257" s="461">
        <v>46357</v>
      </c>
      <c r="BD257" s="444"/>
      <c r="BF257" s="336"/>
    </row>
    <row r="258" spans="1:58" outlineLevel="1" x14ac:dyDescent="0.35">
      <c r="A258" s="456"/>
      <c r="B258" s="458"/>
      <c r="C258" s="459">
        <v>2026</v>
      </c>
      <c r="D258" s="462"/>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c r="AA258" s="463"/>
      <c r="AB258" s="463"/>
      <c r="AC258" s="463"/>
      <c r="AD258" s="463"/>
      <c r="AE258" s="463"/>
      <c r="AF258" s="463"/>
      <c r="AG258" s="463"/>
      <c r="AH258" s="463"/>
      <c r="AI258" s="463"/>
      <c r="AJ258" s="463"/>
      <c r="AK258" s="463"/>
      <c r="AL258" s="463"/>
      <c r="AM258" s="463"/>
      <c r="AN258" s="463"/>
      <c r="AO258" s="463"/>
      <c r="AP258" s="463"/>
      <c r="AQ258" s="463"/>
      <c r="AR258" s="463"/>
      <c r="AS258" s="463"/>
      <c r="AT258" s="463"/>
      <c r="AU258" s="463"/>
      <c r="AV258" s="463"/>
      <c r="AW258" s="463"/>
      <c r="AX258" s="463"/>
      <c r="AY258" s="463"/>
      <c r="AZ258" s="463"/>
      <c r="BB258" s="456"/>
      <c r="BC258" s="462"/>
      <c r="BD258" s="444"/>
      <c r="BF258" s="336"/>
    </row>
    <row r="259" spans="1:58" outlineLevel="1" x14ac:dyDescent="0.35">
      <c r="A259" s="336">
        <f>1+A258</f>
        <v>1</v>
      </c>
      <c r="B259" s="464" t="s">
        <v>0</v>
      </c>
      <c r="C259" s="465" t="s">
        <v>921</v>
      </c>
      <c r="D259" s="476"/>
      <c r="E259" s="1279"/>
      <c r="AS259" s="1279"/>
      <c r="BB259" s="467"/>
      <c r="BC259" s="467"/>
      <c r="BD259" s="444"/>
      <c r="BF259" s="336"/>
    </row>
    <row r="260" spans="1:58" outlineLevel="1" x14ac:dyDescent="0.35">
      <c r="A260" s="336">
        <f t="shared" ref="A260:A315" si="90">1+A259</f>
        <v>2</v>
      </c>
      <c r="B260" s="464" t="s">
        <v>48</v>
      </c>
      <c r="C260" s="465" t="s">
        <v>921</v>
      </c>
      <c r="D260" s="467">
        <f>+BC199</f>
        <v>550773649.72602034</v>
      </c>
      <c r="E260" s="1305">
        <f>'Common Adj'!$M$37</f>
        <v>-486743</v>
      </c>
      <c r="F260" s="468"/>
      <c r="G260" s="468"/>
      <c r="H260" s="468"/>
      <c r="I260" s="468"/>
      <c r="J260" s="468"/>
      <c r="K260" s="468"/>
      <c r="L260" s="468"/>
      <c r="M260" s="468"/>
      <c r="N260" s="468"/>
      <c r="O260" s="468"/>
      <c r="P260" s="468"/>
      <c r="Q260" s="468"/>
      <c r="R260" s="468"/>
      <c r="S260" s="468"/>
      <c r="T260" s="468"/>
      <c r="U260" s="468"/>
      <c r="V260" s="468"/>
      <c r="W260" s="468"/>
      <c r="X260" s="468"/>
      <c r="Y260" s="468"/>
      <c r="Z260" s="468"/>
      <c r="AA260" s="468"/>
      <c r="AB260" s="468"/>
      <c r="AC260" s="468"/>
      <c r="AD260" s="468"/>
      <c r="AE260" s="468"/>
      <c r="AF260" s="468"/>
      <c r="AG260" s="468"/>
      <c r="AH260" s="468"/>
      <c r="AI260" s="468"/>
      <c r="AJ260" s="468"/>
      <c r="AK260" s="468"/>
      <c r="AL260" s="468"/>
      <c r="AM260" s="468"/>
      <c r="AN260" s="468"/>
      <c r="AO260" s="468"/>
      <c r="AP260" s="468"/>
      <c r="AQ260" s="468"/>
      <c r="AR260" s="468"/>
      <c r="AS260" s="1305"/>
      <c r="AT260" s="468"/>
      <c r="AU260" s="468"/>
      <c r="AV260" s="468"/>
      <c r="AW260" s="468"/>
      <c r="AX260" s="468"/>
      <c r="AY260" s="468"/>
      <c r="AZ260" s="468"/>
      <c r="BB260" s="467">
        <f>SUM(E260:AZ260)</f>
        <v>-486743</v>
      </c>
      <c r="BC260" s="467">
        <f>+BB260+D260</f>
        <v>550286906.72602034</v>
      </c>
      <c r="BD260" s="444"/>
      <c r="BE260" s="173"/>
      <c r="BF260" s="336"/>
    </row>
    <row r="261" spans="1:58" outlineLevel="1" x14ac:dyDescent="0.35">
      <c r="A261" s="336">
        <f t="shared" si="90"/>
        <v>3</v>
      </c>
      <c r="B261" s="464" t="s">
        <v>49</v>
      </c>
      <c r="C261" s="465" t="s">
        <v>921</v>
      </c>
      <c r="D261" s="470">
        <f>+BC200</f>
        <v>0</v>
      </c>
      <c r="E261" s="1306"/>
      <c r="F261" s="471"/>
      <c r="G261" s="471"/>
      <c r="H261" s="471"/>
      <c r="I261" s="471"/>
      <c r="J261" s="471"/>
      <c r="K261" s="471"/>
      <c r="L261" s="471"/>
      <c r="M261" s="471"/>
      <c r="N261" s="471"/>
      <c r="O261" s="471"/>
      <c r="P261" s="471"/>
      <c r="Q261" s="471"/>
      <c r="R261" s="471"/>
      <c r="S261" s="471"/>
      <c r="T261" s="471"/>
      <c r="U261" s="471"/>
      <c r="V261" s="471"/>
      <c r="W261" s="47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1306"/>
      <c r="AT261" s="471"/>
      <c r="AU261" s="471"/>
      <c r="AV261" s="471"/>
      <c r="AW261" s="471"/>
      <c r="AX261" s="471"/>
      <c r="AY261" s="471"/>
      <c r="AZ261" s="471"/>
      <c r="BB261" s="470">
        <f>SUM(E261:AZ261)</f>
        <v>0</v>
      </c>
      <c r="BC261" s="470">
        <f>+BB261+D261</f>
        <v>0</v>
      </c>
      <c r="BD261" s="444"/>
      <c r="BE261" s="173"/>
      <c r="BF261" s="336"/>
    </row>
    <row r="262" spans="1:58" outlineLevel="1" x14ac:dyDescent="0.35">
      <c r="A262" s="336">
        <f t="shared" si="90"/>
        <v>4</v>
      </c>
      <c r="B262" s="464" t="s">
        <v>50</v>
      </c>
      <c r="C262" s="465" t="s">
        <v>921</v>
      </c>
      <c r="D262" s="470">
        <f>+BC201</f>
        <v>0</v>
      </c>
      <c r="E262" s="1306"/>
      <c r="F262" s="471"/>
      <c r="G262" s="471"/>
      <c r="H262" s="471"/>
      <c r="I262" s="471"/>
      <c r="J262" s="471"/>
      <c r="K262" s="471"/>
      <c r="L262" s="471"/>
      <c r="M262" s="471"/>
      <c r="N262" s="471"/>
      <c r="O262" s="471"/>
      <c r="P262" s="471"/>
      <c r="Q262" s="471"/>
      <c r="R262" s="471"/>
      <c r="S262" s="471"/>
      <c r="T262" s="471"/>
      <c r="U262" s="471"/>
      <c r="V262" s="471"/>
      <c r="W262" s="47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1306"/>
      <c r="AT262" s="471"/>
      <c r="AU262" s="471"/>
      <c r="AV262" s="471"/>
      <c r="AW262" s="471"/>
      <c r="AX262" s="471"/>
      <c r="AY262" s="471"/>
      <c r="AZ262" s="471"/>
      <c r="BB262" s="470">
        <f>SUM(E262:AZ262)</f>
        <v>0</v>
      </c>
      <c r="BC262" s="470">
        <f>+BB262+D262</f>
        <v>0</v>
      </c>
      <c r="BD262" s="444"/>
      <c r="BE262" s="173"/>
      <c r="BF262" s="336"/>
    </row>
    <row r="263" spans="1:58" outlineLevel="1" x14ac:dyDescent="0.35">
      <c r="A263" s="336">
        <f t="shared" si="90"/>
        <v>5</v>
      </c>
      <c r="B263" s="464" t="s">
        <v>51</v>
      </c>
      <c r="C263" s="465" t="s">
        <v>921</v>
      </c>
      <c r="D263" s="470">
        <f>+BC202</f>
        <v>-604789.78244638466</v>
      </c>
      <c r="E263" s="1306"/>
      <c r="F263" s="471"/>
      <c r="G263" s="471"/>
      <c r="H263" s="471"/>
      <c r="I263" s="471"/>
      <c r="J263" s="471"/>
      <c r="K263" s="471"/>
      <c r="L263" s="471"/>
      <c r="M263" s="471"/>
      <c r="N263" s="471"/>
      <c r="O263" s="471"/>
      <c r="P263" s="471"/>
      <c r="Q263" s="471"/>
      <c r="R263" s="471"/>
      <c r="S263" s="471"/>
      <c r="T263" s="471"/>
      <c r="U263" s="471"/>
      <c r="V263" s="471"/>
      <c r="W263" s="471"/>
      <c r="X263" s="471"/>
      <c r="Y263" s="471"/>
      <c r="Z263" s="471"/>
      <c r="AA263" s="471"/>
      <c r="AB263" s="471"/>
      <c r="AC263" s="471"/>
      <c r="AD263" s="471"/>
      <c r="AE263" s="471"/>
      <c r="AF263" s="471"/>
      <c r="AG263" s="471"/>
      <c r="AH263" s="471"/>
      <c r="AI263" s="471"/>
      <c r="AJ263" s="471"/>
      <c r="AK263" s="471"/>
      <c r="AL263" s="471"/>
      <c r="AM263" s="471"/>
      <c r="AN263" s="471"/>
      <c r="AO263" s="471"/>
      <c r="AP263" s="471"/>
      <c r="AQ263" s="471">
        <f>-'Gas Adj'!CG33-'Gas Adj'!CG36</f>
        <v>2630462.4217455317</v>
      </c>
      <c r="AR263" s="471"/>
      <c r="AS263" s="1306"/>
      <c r="AT263" s="471"/>
      <c r="AU263" s="471"/>
      <c r="AV263" s="471"/>
      <c r="AW263" s="471"/>
      <c r="AX263" s="471"/>
      <c r="AY263" s="471"/>
      <c r="AZ263" s="471"/>
      <c r="BB263" s="470">
        <f>SUM(E263:AZ263)</f>
        <v>2630462.4217455317</v>
      </c>
      <c r="BC263" s="470">
        <f>+BB263+D263</f>
        <v>2025672.6392991471</v>
      </c>
      <c r="BD263" s="444"/>
      <c r="BE263" s="173"/>
      <c r="BF263" s="336"/>
    </row>
    <row r="264" spans="1:58" outlineLevel="1" x14ac:dyDescent="0.35">
      <c r="A264" s="336">
        <f t="shared" si="90"/>
        <v>6</v>
      </c>
      <c r="B264" s="464" t="s">
        <v>58</v>
      </c>
      <c r="C264" s="465" t="s">
        <v>921</v>
      </c>
      <c r="D264" s="473">
        <f>SUM(D260:D263)</f>
        <v>550168859.94357395</v>
      </c>
      <c r="E264" s="1307">
        <f t="shared" ref="E264:AS264" si="91">SUM(E260:E263)</f>
        <v>-486743</v>
      </c>
      <c r="F264" s="474">
        <f t="shared" si="91"/>
        <v>0</v>
      </c>
      <c r="G264" s="474">
        <f t="shared" si="91"/>
        <v>0</v>
      </c>
      <c r="H264" s="474">
        <f t="shared" si="91"/>
        <v>0</v>
      </c>
      <c r="I264" s="474">
        <f t="shared" si="91"/>
        <v>0</v>
      </c>
      <c r="J264" s="474">
        <f t="shared" si="91"/>
        <v>0</v>
      </c>
      <c r="K264" s="474">
        <f t="shared" si="91"/>
        <v>0</v>
      </c>
      <c r="L264" s="474">
        <f t="shared" si="91"/>
        <v>0</v>
      </c>
      <c r="M264" s="474">
        <f t="shared" si="91"/>
        <v>0</v>
      </c>
      <c r="N264" s="474">
        <f t="shared" si="91"/>
        <v>0</v>
      </c>
      <c r="O264" s="474">
        <f t="shared" si="91"/>
        <v>0</v>
      </c>
      <c r="P264" s="474">
        <f t="shared" si="91"/>
        <v>0</v>
      </c>
      <c r="Q264" s="474">
        <f t="shared" si="91"/>
        <v>0</v>
      </c>
      <c r="R264" s="474">
        <f t="shared" si="91"/>
        <v>0</v>
      </c>
      <c r="S264" s="474">
        <f t="shared" si="91"/>
        <v>0</v>
      </c>
      <c r="T264" s="474">
        <f t="shared" si="91"/>
        <v>0</v>
      </c>
      <c r="U264" s="474">
        <f t="shared" si="91"/>
        <v>0</v>
      </c>
      <c r="V264" s="474">
        <f t="shared" si="91"/>
        <v>0</v>
      </c>
      <c r="W264" s="474">
        <f t="shared" si="91"/>
        <v>0</v>
      </c>
      <c r="X264" s="474">
        <f t="shared" si="91"/>
        <v>0</v>
      </c>
      <c r="Y264" s="474">
        <f t="shared" si="91"/>
        <v>0</v>
      </c>
      <c r="Z264" s="474">
        <f t="shared" si="91"/>
        <v>0</v>
      </c>
      <c r="AA264" s="474">
        <f t="shared" si="91"/>
        <v>0</v>
      </c>
      <c r="AB264" s="474">
        <f t="shared" si="91"/>
        <v>0</v>
      </c>
      <c r="AC264" s="474">
        <f t="shared" si="91"/>
        <v>0</v>
      </c>
      <c r="AD264" s="474">
        <f t="shared" si="91"/>
        <v>0</v>
      </c>
      <c r="AE264" s="474">
        <f t="shared" si="91"/>
        <v>0</v>
      </c>
      <c r="AF264" s="474">
        <f t="shared" si="91"/>
        <v>0</v>
      </c>
      <c r="AG264" s="474">
        <f t="shared" si="91"/>
        <v>0</v>
      </c>
      <c r="AH264" s="474">
        <f t="shared" si="91"/>
        <v>0</v>
      </c>
      <c r="AI264" s="474">
        <f t="shared" si="91"/>
        <v>0</v>
      </c>
      <c r="AJ264" s="474">
        <f t="shared" si="91"/>
        <v>0</v>
      </c>
      <c r="AK264" s="474">
        <f t="shared" si="91"/>
        <v>0</v>
      </c>
      <c r="AL264" s="474">
        <f t="shared" si="91"/>
        <v>0</v>
      </c>
      <c r="AM264" s="474">
        <f t="shared" si="91"/>
        <v>0</v>
      </c>
      <c r="AN264" s="474">
        <f t="shared" si="91"/>
        <v>0</v>
      </c>
      <c r="AO264" s="474">
        <f t="shared" si="91"/>
        <v>0</v>
      </c>
      <c r="AP264" s="474">
        <f t="shared" si="91"/>
        <v>0</v>
      </c>
      <c r="AQ264" s="474">
        <f t="shared" si="91"/>
        <v>2630462.4217455317</v>
      </c>
      <c r="AR264" s="474">
        <f t="shared" si="91"/>
        <v>0</v>
      </c>
      <c r="AS264" s="1307">
        <f t="shared" si="91"/>
        <v>0</v>
      </c>
      <c r="AT264" s="474"/>
      <c r="AU264" s="474"/>
      <c r="AV264" s="474"/>
      <c r="AW264" s="474"/>
      <c r="AX264" s="474"/>
      <c r="AY264" s="474"/>
      <c r="AZ264" s="474"/>
      <c r="BB264" s="473">
        <f>SUM(BB260:BB263)</f>
        <v>2143719.4217455317</v>
      </c>
      <c r="BC264" s="473">
        <f>SUM(BC260:BC263)</f>
        <v>552312579.36531949</v>
      </c>
      <c r="BD264" s="444"/>
      <c r="BE264" s="173"/>
      <c r="BF264" s="336"/>
    </row>
    <row r="265" spans="1:58" outlineLevel="1" x14ac:dyDescent="0.35">
      <c r="A265" s="336">
        <f t="shared" si="90"/>
        <v>7</v>
      </c>
      <c r="B265" s="475"/>
      <c r="C265" s="465" t="s">
        <v>921</v>
      </c>
      <c r="D265" s="470"/>
      <c r="E265" s="1306"/>
      <c r="F265" s="471"/>
      <c r="G265" s="471"/>
      <c r="H265" s="471"/>
      <c r="I265" s="471"/>
      <c r="J265" s="471"/>
      <c r="K265" s="471"/>
      <c r="L265" s="471"/>
      <c r="M265" s="471"/>
      <c r="N265" s="471"/>
      <c r="O265" s="471"/>
      <c r="P265" s="471"/>
      <c r="Q265" s="471"/>
      <c r="R265" s="471"/>
      <c r="S265" s="471"/>
      <c r="T265" s="471"/>
      <c r="U265" s="471"/>
      <c r="V265" s="471"/>
      <c r="W265" s="47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1306"/>
      <c r="AT265" s="471"/>
      <c r="AU265" s="471"/>
      <c r="AV265" s="471"/>
      <c r="AW265" s="471"/>
      <c r="AX265" s="471"/>
      <c r="AY265" s="471"/>
      <c r="AZ265" s="471"/>
      <c r="BB265" s="470"/>
      <c r="BC265" s="470"/>
      <c r="BD265" s="444"/>
      <c r="BE265" s="173"/>
      <c r="BF265" s="336"/>
    </row>
    <row r="266" spans="1:58" outlineLevel="1" x14ac:dyDescent="0.35">
      <c r="A266" s="336">
        <f t="shared" si="90"/>
        <v>8</v>
      </c>
      <c r="B266" s="464" t="s">
        <v>52</v>
      </c>
      <c r="C266" s="465" t="s">
        <v>921</v>
      </c>
      <c r="D266" s="466"/>
      <c r="E266" s="1308"/>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341"/>
      <c r="AC266" s="341"/>
      <c r="AD266" s="341"/>
      <c r="AE266" s="341"/>
      <c r="AF266" s="341"/>
      <c r="AG266" s="341"/>
      <c r="AH266" s="341"/>
      <c r="AI266" s="341"/>
      <c r="AJ266" s="341"/>
      <c r="AK266" s="341"/>
      <c r="AL266" s="341"/>
      <c r="AM266" s="341"/>
      <c r="AN266" s="341"/>
      <c r="AO266" s="341"/>
      <c r="AP266" s="341"/>
      <c r="AQ266" s="341"/>
      <c r="AR266" s="341"/>
      <c r="AS266" s="1308"/>
      <c r="AT266" s="341"/>
      <c r="AU266" s="341"/>
      <c r="AV266" s="341"/>
      <c r="AW266" s="341"/>
      <c r="AX266" s="341"/>
      <c r="AY266" s="341"/>
      <c r="AZ266" s="341"/>
      <c r="BB266" s="466"/>
      <c r="BC266" s="466"/>
      <c r="BD266" s="444"/>
      <c r="BE266" s="173"/>
      <c r="BF266" s="336"/>
    </row>
    <row r="267" spans="1:58" outlineLevel="1" x14ac:dyDescent="0.35">
      <c r="A267" s="336">
        <f t="shared" si="90"/>
        <v>9</v>
      </c>
      <c r="C267" s="465" t="s">
        <v>921</v>
      </c>
      <c r="D267" s="466"/>
      <c r="E267" s="1308"/>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c r="AF267" s="341"/>
      <c r="AG267" s="341"/>
      <c r="AH267" s="341"/>
      <c r="AI267" s="341"/>
      <c r="AJ267" s="341"/>
      <c r="AK267" s="341"/>
      <c r="AL267" s="341"/>
      <c r="AM267" s="341"/>
      <c r="AN267" s="341"/>
      <c r="AO267" s="341"/>
      <c r="AP267" s="341"/>
      <c r="AQ267" s="341"/>
      <c r="AR267" s="341"/>
      <c r="AS267" s="1308"/>
      <c r="AT267" s="341"/>
      <c r="AU267" s="341"/>
      <c r="AV267" s="341"/>
      <c r="AW267" s="341"/>
      <c r="AX267" s="341"/>
      <c r="AY267" s="341"/>
      <c r="AZ267" s="341"/>
      <c r="BB267" s="466"/>
      <c r="BC267" s="466"/>
      <c r="BD267" s="444"/>
      <c r="BE267" s="173"/>
      <c r="BF267" s="336"/>
    </row>
    <row r="268" spans="1:58" outlineLevel="1" x14ac:dyDescent="0.35">
      <c r="A268" s="336">
        <f t="shared" si="90"/>
        <v>10</v>
      </c>
      <c r="B268" s="464" t="s">
        <v>53</v>
      </c>
      <c r="C268" s="465" t="s">
        <v>921</v>
      </c>
      <c r="D268" s="466"/>
      <c r="E268" s="1308"/>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E268" s="341"/>
      <c r="AF268" s="341"/>
      <c r="AG268" s="341"/>
      <c r="AH268" s="341"/>
      <c r="AI268" s="341"/>
      <c r="AJ268" s="341"/>
      <c r="AK268" s="341"/>
      <c r="AL268" s="341"/>
      <c r="AM268" s="341"/>
      <c r="AN268" s="341"/>
      <c r="AO268" s="341"/>
      <c r="AP268" s="341"/>
      <c r="AQ268" s="341"/>
      <c r="AR268" s="341"/>
      <c r="AS268" s="1308"/>
      <c r="AT268" s="833">
        <f>+'DPK-8 Filtered Summary'!GO21</f>
        <v>0</v>
      </c>
      <c r="AU268" s="833">
        <f>+'DPK-8 Filtered Summary'!GP21</f>
        <v>0</v>
      </c>
      <c r="AV268" s="833">
        <f>+'DPK-8 Filtered Summary'!GQ21</f>
        <v>0</v>
      </c>
      <c r="AW268" s="833">
        <f>+'DPK-8 Filtered Summary'!GR21</f>
        <v>0</v>
      </c>
      <c r="AX268" s="833">
        <f>+'DPK-8 Filtered Summary'!GS21</f>
        <v>0</v>
      </c>
      <c r="AY268" s="833">
        <f>+'DPK-8 Filtered Summary'!GT21</f>
        <v>0</v>
      </c>
      <c r="AZ268" s="833">
        <f>+'DPK-8 Filtered Summary'!GU21</f>
        <v>0</v>
      </c>
      <c r="BB268" s="466"/>
      <c r="BC268" s="466"/>
      <c r="BD268" s="444"/>
      <c r="BE268" s="173"/>
      <c r="BF268" s="336"/>
    </row>
    <row r="269" spans="1:58" outlineLevel="1" x14ac:dyDescent="0.35">
      <c r="A269" s="336">
        <f t="shared" si="90"/>
        <v>11</v>
      </c>
      <c r="B269" s="464" t="s">
        <v>54</v>
      </c>
      <c r="C269" s="465" t="s">
        <v>921</v>
      </c>
      <c r="D269" s="476">
        <f>+BC208</f>
        <v>0</v>
      </c>
      <c r="E269" s="1309"/>
      <c r="F269" s="420"/>
      <c r="G269" s="420"/>
      <c r="H269" s="420"/>
      <c r="I269" s="420"/>
      <c r="J269" s="420"/>
      <c r="K269" s="420"/>
      <c r="L269" s="420"/>
      <c r="M269" s="420"/>
      <c r="N269" s="420"/>
      <c r="O269" s="420"/>
      <c r="P269" s="420"/>
      <c r="Q269" s="420"/>
      <c r="R269" s="420"/>
      <c r="S269" s="420"/>
      <c r="T269" s="420"/>
      <c r="U269" s="420"/>
      <c r="V269" s="420"/>
      <c r="W269" s="420"/>
      <c r="X269" s="420"/>
      <c r="Y269" s="420"/>
      <c r="Z269" s="420"/>
      <c r="AA269" s="420"/>
      <c r="AB269" s="420"/>
      <c r="AC269" s="420"/>
      <c r="AD269" s="420"/>
      <c r="AE269" s="420"/>
      <c r="AF269" s="420"/>
      <c r="AG269" s="420"/>
      <c r="AH269" s="420"/>
      <c r="AI269" s="420"/>
      <c r="AJ269" s="420"/>
      <c r="AK269" s="420"/>
      <c r="AL269" s="420"/>
      <c r="AM269" s="420"/>
      <c r="AN269" s="420"/>
      <c r="AO269" s="420"/>
      <c r="AP269" s="420"/>
      <c r="AQ269" s="420"/>
      <c r="AR269" s="420"/>
      <c r="AS269" s="1309"/>
      <c r="AT269" s="420">
        <f>+'DPK-8 Filtered Summary'!GO22</f>
        <v>0</v>
      </c>
      <c r="AU269" s="420">
        <f>+'DPK-8 Filtered Summary'!GP22</f>
        <v>0</v>
      </c>
      <c r="AV269" s="420">
        <f>+'DPK-8 Filtered Summary'!GQ22</f>
        <v>0</v>
      </c>
      <c r="AW269" s="420">
        <f>+'DPK-8 Filtered Summary'!GR22</f>
        <v>0</v>
      </c>
      <c r="AX269" s="420">
        <f>+'DPK-8 Filtered Summary'!GS22</f>
        <v>0</v>
      </c>
      <c r="AY269" s="420">
        <f>+'DPK-8 Filtered Summary'!GT22</f>
        <v>0</v>
      </c>
      <c r="AZ269" s="420">
        <f>+'DPK-8 Filtered Summary'!GU22</f>
        <v>0</v>
      </c>
      <c r="BB269" s="476">
        <f>SUM(E269:AZ269)</f>
        <v>0</v>
      </c>
      <c r="BC269" s="476">
        <f>+BB269+D269</f>
        <v>0</v>
      </c>
      <c r="BD269" s="444"/>
      <c r="BE269" s="173"/>
      <c r="BF269" s="336"/>
    </row>
    <row r="270" spans="1:58" outlineLevel="1" x14ac:dyDescent="0.35">
      <c r="A270" s="336">
        <f t="shared" si="90"/>
        <v>12</v>
      </c>
      <c r="B270" s="464" t="s">
        <v>55</v>
      </c>
      <c r="C270" s="465" t="s">
        <v>921</v>
      </c>
      <c r="D270" s="470">
        <f>+BC209</f>
        <v>0</v>
      </c>
      <c r="E270" s="1306"/>
      <c r="F270" s="471"/>
      <c r="G270" s="471"/>
      <c r="H270" s="471"/>
      <c r="I270" s="471"/>
      <c r="J270" s="471"/>
      <c r="K270" s="471"/>
      <c r="L270" s="471"/>
      <c r="M270" s="471"/>
      <c r="N270" s="471"/>
      <c r="O270" s="471"/>
      <c r="P270" s="471"/>
      <c r="Q270" s="471"/>
      <c r="R270" s="471"/>
      <c r="S270" s="471"/>
      <c r="T270" s="471"/>
      <c r="U270" s="471"/>
      <c r="V270" s="471"/>
      <c r="W270" s="471"/>
      <c r="X270" s="471"/>
      <c r="Y270" s="471"/>
      <c r="Z270" s="471"/>
      <c r="AA270" s="471"/>
      <c r="AB270" s="471"/>
      <c r="AC270" s="471"/>
      <c r="AD270" s="471"/>
      <c r="AE270" s="471"/>
      <c r="AF270" s="471"/>
      <c r="AG270" s="471"/>
      <c r="AH270" s="471"/>
      <c r="AI270" s="471"/>
      <c r="AJ270" s="471"/>
      <c r="AK270" s="471"/>
      <c r="AL270" s="471"/>
      <c r="AM270" s="471"/>
      <c r="AN270" s="471"/>
      <c r="AO270" s="471"/>
      <c r="AP270" s="471"/>
      <c r="AQ270" s="471"/>
      <c r="AR270" s="471"/>
      <c r="AS270" s="1306"/>
      <c r="AT270" s="471">
        <f>+'DPK-8 Filtered Summary'!GO23</f>
        <v>0</v>
      </c>
      <c r="AU270" s="471">
        <f>+'DPK-8 Filtered Summary'!GP23</f>
        <v>0</v>
      </c>
      <c r="AV270" s="471">
        <f>+'DPK-8 Filtered Summary'!GQ23</f>
        <v>0</v>
      </c>
      <c r="AW270" s="471">
        <f>+'DPK-8 Filtered Summary'!GR23</f>
        <v>0</v>
      </c>
      <c r="AX270" s="471">
        <f>+'DPK-8 Filtered Summary'!GS23</f>
        <v>0</v>
      </c>
      <c r="AY270" s="471">
        <f>+'DPK-8 Filtered Summary'!GT23</f>
        <v>0</v>
      </c>
      <c r="AZ270" s="471">
        <f>+'DPK-8 Filtered Summary'!GU23</f>
        <v>0</v>
      </c>
      <c r="BB270" s="470">
        <f>SUM(E270:AZ270)</f>
        <v>0</v>
      </c>
      <c r="BC270" s="470">
        <f>+BB270+D270</f>
        <v>0</v>
      </c>
      <c r="BD270" s="444"/>
      <c r="BE270" s="173"/>
      <c r="BF270" s="336"/>
    </row>
    <row r="271" spans="1:58" outlineLevel="1" x14ac:dyDescent="0.35">
      <c r="A271" s="336">
        <f t="shared" si="90"/>
        <v>13</v>
      </c>
      <c r="B271" s="464" t="s">
        <v>56</v>
      </c>
      <c r="C271" s="465" t="s">
        <v>921</v>
      </c>
      <c r="D271" s="470">
        <f>+BC210</f>
        <v>0</v>
      </c>
      <c r="E271" s="1306"/>
      <c r="F271" s="471"/>
      <c r="G271" s="471"/>
      <c r="H271" s="471"/>
      <c r="I271" s="471"/>
      <c r="J271" s="471"/>
      <c r="K271" s="471"/>
      <c r="L271" s="471"/>
      <c r="M271" s="471"/>
      <c r="N271" s="471"/>
      <c r="O271" s="471"/>
      <c r="P271" s="471"/>
      <c r="Q271" s="471"/>
      <c r="R271" s="471"/>
      <c r="S271" s="471"/>
      <c r="T271" s="471"/>
      <c r="U271" s="471"/>
      <c r="V271" s="471"/>
      <c r="W271" s="471"/>
      <c r="X271" s="471"/>
      <c r="Y271" s="471"/>
      <c r="Z271" s="471"/>
      <c r="AA271" s="471"/>
      <c r="AB271" s="471"/>
      <c r="AC271" s="471"/>
      <c r="AD271" s="471"/>
      <c r="AE271" s="471"/>
      <c r="AF271" s="471"/>
      <c r="AG271" s="471"/>
      <c r="AH271" s="471"/>
      <c r="AI271" s="471"/>
      <c r="AJ271" s="471"/>
      <c r="AK271" s="471"/>
      <c r="AL271" s="471"/>
      <c r="AM271" s="471"/>
      <c r="AN271" s="471"/>
      <c r="AO271" s="471"/>
      <c r="AP271" s="471"/>
      <c r="AQ271" s="471"/>
      <c r="AR271" s="471"/>
      <c r="AS271" s="1306"/>
      <c r="AT271" s="471">
        <f>+'DPK-8 Filtered Summary'!GO24</f>
        <v>0</v>
      </c>
      <c r="AU271" s="471">
        <f>+'DPK-8 Filtered Summary'!GP24</f>
        <v>0</v>
      </c>
      <c r="AV271" s="471">
        <f>+'DPK-8 Filtered Summary'!GQ24</f>
        <v>0</v>
      </c>
      <c r="AW271" s="471">
        <f>+'DPK-8 Filtered Summary'!GR24</f>
        <v>0</v>
      </c>
      <c r="AX271" s="471">
        <f>+'DPK-8 Filtered Summary'!GS24</f>
        <v>0</v>
      </c>
      <c r="AY271" s="471">
        <f>+'DPK-8 Filtered Summary'!GT24</f>
        <v>0</v>
      </c>
      <c r="AZ271" s="471">
        <f>+'DPK-8 Filtered Summary'!GU24</f>
        <v>0</v>
      </c>
      <c r="BB271" s="470">
        <f>SUM(E271:AZ271)</f>
        <v>0</v>
      </c>
      <c r="BC271" s="470">
        <f>+BB271+D271</f>
        <v>0</v>
      </c>
      <c r="BD271" s="444"/>
      <c r="BE271" s="173"/>
      <c r="BF271" s="336"/>
    </row>
    <row r="272" spans="1:58" outlineLevel="1" x14ac:dyDescent="0.35">
      <c r="A272" s="336">
        <f t="shared" si="90"/>
        <v>14</v>
      </c>
      <c r="B272" s="329" t="s">
        <v>57</v>
      </c>
      <c r="C272" s="465" t="s">
        <v>921</v>
      </c>
      <c r="D272" s="470">
        <f>+BC211</f>
        <v>0</v>
      </c>
      <c r="E272" s="1306"/>
      <c r="F272" s="471"/>
      <c r="G272" s="471"/>
      <c r="H272" s="471"/>
      <c r="I272" s="471"/>
      <c r="J272" s="471"/>
      <c r="K272" s="471"/>
      <c r="L272" s="471"/>
      <c r="M272" s="471"/>
      <c r="N272" s="471"/>
      <c r="O272" s="471"/>
      <c r="P272" s="471"/>
      <c r="Q272" s="471"/>
      <c r="R272" s="471"/>
      <c r="S272" s="471"/>
      <c r="T272" s="471"/>
      <c r="U272" s="471"/>
      <c r="V272" s="471"/>
      <c r="W272" s="47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1306"/>
      <c r="AT272" s="471">
        <f>+'DPK-8 Filtered Summary'!GO25</f>
        <v>0</v>
      </c>
      <c r="AU272" s="471">
        <f>+'DPK-8 Filtered Summary'!GP25</f>
        <v>0</v>
      </c>
      <c r="AV272" s="471">
        <f>+'DPK-8 Filtered Summary'!GQ25</f>
        <v>0</v>
      </c>
      <c r="AW272" s="471">
        <f>+'DPK-8 Filtered Summary'!GR25</f>
        <v>0</v>
      </c>
      <c r="AX272" s="471">
        <f>+'DPK-8 Filtered Summary'!GS25</f>
        <v>0</v>
      </c>
      <c r="AY272" s="471">
        <f>+'DPK-8 Filtered Summary'!GT25</f>
        <v>0</v>
      </c>
      <c r="AZ272" s="471">
        <f>+'DPK-8 Filtered Summary'!GU25</f>
        <v>0</v>
      </c>
      <c r="BB272" s="470">
        <f>SUM(E272:AZ272)</f>
        <v>0</v>
      </c>
      <c r="BC272" s="470">
        <f>+BB272+D272</f>
        <v>0</v>
      </c>
      <c r="BD272" s="444"/>
      <c r="BE272" s="173"/>
      <c r="BF272" s="336"/>
    </row>
    <row r="273" spans="1:58" outlineLevel="1" x14ac:dyDescent="0.35">
      <c r="A273" s="336">
        <f t="shared" si="90"/>
        <v>15</v>
      </c>
      <c r="B273" s="464" t="s">
        <v>1</v>
      </c>
      <c r="C273" s="465" t="s">
        <v>921</v>
      </c>
      <c r="D273" s="477">
        <f>SUM(D268:D272)</f>
        <v>0</v>
      </c>
      <c r="E273" s="1310">
        <f t="shared" ref="E273:AS273" si="92">SUM(E268:E272)</f>
        <v>0</v>
      </c>
      <c r="F273" s="478">
        <f t="shared" si="92"/>
        <v>0</v>
      </c>
      <c r="G273" s="478">
        <f t="shared" si="92"/>
        <v>0</v>
      </c>
      <c r="H273" s="478">
        <f t="shared" si="92"/>
        <v>0</v>
      </c>
      <c r="I273" s="478">
        <f t="shared" si="92"/>
        <v>0</v>
      </c>
      <c r="J273" s="478">
        <f t="shared" si="92"/>
        <v>0</v>
      </c>
      <c r="K273" s="478">
        <f t="shared" si="92"/>
        <v>0</v>
      </c>
      <c r="L273" s="478">
        <f t="shared" si="92"/>
        <v>0</v>
      </c>
      <c r="M273" s="478">
        <f t="shared" si="92"/>
        <v>0</v>
      </c>
      <c r="N273" s="478">
        <f t="shared" si="92"/>
        <v>0</v>
      </c>
      <c r="O273" s="478">
        <f t="shared" si="92"/>
        <v>0</v>
      </c>
      <c r="P273" s="478">
        <f t="shared" si="92"/>
        <v>0</v>
      </c>
      <c r="Q273" s="478">
        <f t="shared" si="92"/>
        <v>0</v>
      </c>
      <c r="R273" s="478">
        <f t="shared" si="92"/>
        <v>0</v>
      </c>
      <c r="S273" s="478">
        <f t="shared" si="92"/>
        <v>0</v>
      </c>
      <c r="T273" s="478">
        <f t="shared" si="92"/>
        <v>0</v>
      </c>
      <c r="U273" s="478">
        <f t="shared" si="92"/>
        <v>0</v>
      </c>
      <c r="V273" s="478">
        <f t="shared" si="92"/>
        <v>0</v>
      </c>
      <c r="W273" s="478">
        <f t="shared" si="92"/>
        <v>0</v>
      </c>
      <c r="X273" s="478">
        <f t="shared" si="92"/>
        <v>0</v>
      </c>
      <c r="Y273" s="478">
        <f t="shared" si="92"/>
        <v>0</v>
      </c>
      <c r="Z273" s="478">
        <f t="shared" si="92"/>
        <v>0</v>
      </c>
      <c r="AA273" s="478">
        <f t="shared" si="92"/>
        <v>0</v>
      </c>
      <c r="AB273" s="478">
        <f t="shared" si="92"/>
        <v>0</v>
      </c>
      <c r="AC273" s="478">
        <f t="shared" si="92"/>
        <v>0</v>
      </c>
      <c r="AD273" s="478">
        <f t="shared" si="92"/>
        <v>0</v>
      </c>
      <c r="AE273" s="478">
        <f t="shared" si="92"/>
        <v>0</v>
      </c>
      <c r="AF273" s="478">
        <f t="shared" si="92"/>
        <v>0</v>
      </c>
      <c r="AG273" s="478">
        <f t="shared" si="92"/>
        <v>0</v>
      </c>
      <c r="AH273" s="478">
        <f t="shared" si="92"/>
        <v>0</v>
      </c>
      <c r="AI273" s="478">
        <f t="shared" si="92"/>
        <v>0</v>
      </c>
      <c r="AJ273" s="478">
        <f t="shared" si="92"/>
        <v>0</v>
      </c>
      <c r="AK273" s="478">
        <f t="shared" si="92"/>
        <v>0</v>
      </c>
      <c r="AL273" s="478">
        <f t="shared" si="92"/>
        <v>0</v>
      </c>
      <c r="AM273" s="479">
        <f t="shared" si="92"/>
        <v>0</v>
      </c>
      <c r="AN273" s="479">
        <f t="shared" si="92"/>
        <v>0</v>
      </c>
      <c r="AO273" s="479">
        <f t="shared" si="92"/>
        <v>0</v>
      </c>
      <c r="AP273" s="478">
        <f t="shared" si="92"/>
        <v>0</v>
      </c>
      <c r="AQ273" s="478">
        <f t="shared" si="92"/>
        <v>0</v>
      </c>
      <c r="AR273" s="478">
        <f t="shared" si="92"/>
        <v>0</v>
      </c>
      <c r="AS273" s="1310">
        <f t="shared" si="92"/>
        <v>0</v>
      </c>
      <c r="AT273" s="478"/>
      <c r="AU273" s="478"/>
      <c r="AV273" s="478"/>
      <c r="AW273" s="478"/>
      <c r="AX273" s="478"/>
      <c r="AY273" s="478"/>
      <c r="AZ273" s="478"/>
      <c r="BB273" s="477">
        <f>SUM(BB268:BB272)</f>
        <v>0</v>
      </c>
      <c r="BC273" s="477">
        <f>SUM(BC268:BC272)</f>
        <v>0</v>
      </c>
      <c r="BD273" s="444"/>
      <c r="BE273" s="173"/>
      <c r="BF273" s="336"/>
    </row>
    <row r="274" spans="1:58" outlineLevel="1" x14ac:dyDescent="0.35">
      <c r="A274" s="336">
        <f t="shared" si="90"/>
        <v>16</v>
      </c>
      <c r="B274" s="464"/>
      <c r="C274" s="465" t="s">
        <v>921</v>
      </c>
      <c r="D274" s="476"/>
      <c r="E274" s="1309"/>
      <c r="F274" s="420"/>
      <c r="G274" s="420"/>
      <c r="H274" s="420"/>
      <c r="I274" s="420"/>
      <c r="J274" s="420"/>
      <c r="K274" s="420"/>
      <c r="L274" s="420"/>
      <c r="M274" s="420"/>
      <c r="N274" s="420"/>
      <c r="O274" s="420"/>
      <c r="P274" s="420"/>
      <c r="Q274" s="420"/>
      <c r="R274" s="420"/>
      <c r="S274" s="420"/>
      <c r="T274" s="420"/>
      <c r="U274" s="420"/>
      <c r="V274" s="420"/>
      <c r="W274" s="420"/>
      <c r="X274" s="420"/>
      <c r="Y274" s="420"/>
      <c r="Z274" s="420"/>
      <c r="AA274" s="420"/>
      <c r="AB274" s="420"/>
      <c r="AC274" s="420"/>
      <c r="AD274" s="420"/>
      <c r="AE274" s="420"/>
      <c r="AF274" s="420"/>
      <c r="AG274" s="420"/>
      <c r="AH274" s="420"/>
      <c r="AI274" s="420"/>
      <c r="AJ274" s="420"/>
      <c r="AK274" s="420"/>
      <c r="AL274" s="420"/>
      <c r="AM274" s="173"/>
      <c r="AN274" s="420"/>
      <c r="AO274" s="420"/>
      <c r="AP274" s="420"/>
      <c r="AQ274" s="420"/>
      <c r="AR274" s="420"/>
      <c r="AS274" s="1309"/>
      <c r="AT274" s="420"/>
      <c r="AU274" s="420"/>
      <c r="AV274" s="420"/>
      <c r="AW274" s="420"/>
      <c r="AX274" s="420"/>
      <c r="AY274" s="420"/>
      <c r="AZ274" s="420"/>
      <c r="BB274" s="476"/>
      <c r="BC274" s="476"/>
      <c r="BD274" s="444"/>
      <c r="BE274" s="173"/>
      <c r="BF274" s="336"/>
    </row>
    <row r="275" spans="1:58" outlineLevel="1" x14ac:dyDescent="0.35">
      <c r="A275" s="336">
        <f t="shared" si="90"/>
        <v>17</v>
      </c>
      <c r="B275" s="480" t="s">
        <v>59</v>
      </c>
      <c r="C275" s="465" t="s">
        <v>921</v>
      </c>
      <c r="D275" s="470">
        <f t="shared" ref="D275:D288" si="93">+BC214</f>
        <v>8236810.4740378801</v>
      </c>
      <c r="E275" s="1309"/>
      <c r="F275" s="420"/>
      <c r="G275" s="420"/>
      <c r="H275" s="420"/>
      <c r="I275" s="420"/>
      <c r="J275" s="420"/>
      <c r="K275" s="420"/>
      <c r="L275" s="420"/>
      <c r="M275" s="420"/>
      <c r="N275" s="420"/>
      <c r="O275" s="420">
        <f>'Common Adj'!GK18+'Common Adj'!GK17+'Common Adj'!GK19</f>
        <v>141.28733078821278</v>
      </c>
      <c r="P275" s="420"/>
      <c r="Q275" s="420"/>
      <c r="R275" s="420"/>
      <c r="S275" s="420"/>
      <c r="T275" s="420"/>
      <c r="U275" s="420"/>
      <c r="V275" s="420"/>
      <c r="W275" s="420"/>
      <c r="X275" s="420"/>
      <c r="Y275" s="420"/>
      <c r="Z275" s="518">
        <f>'Common Adj'!OA$16</f>
        <v>720957.01860331092</v>
      </c>
      <c r="AA275" s="420"/>
      <c r="AB275" s="420"/>
      <c r="AC275" s="420"/>
      <c r="AD275" s="420"/>
      <c r="AE275" s="420"/>
      <c r="AF275" s="420"/>
      <c r="AG275" s="420"/>
      <c r="AH275" s="420"/>
      <c r="AI275" s="420"/>
      <c r="AJ275" s="420"/>
      <c r="AK275" s="420"/>
      <c r="AL275" s="420"/>
      <c r="AM275" s="471"/>
      <c r="AN275" s="420"/>
      <c r="AO275" s="420"/>
      <c r="AP275" s="420"/>
      <c r="AQ275" s="420"/>
      <c r="AR275" s="420"/>
      <c r="AS275" s="1309"/>
      <c r="AT275" s="420"/>
      <c r="AU275" s="420"/>
      <c r="AV275" s="420"/>
      <c r="AW275" s="420"/>
      <c r="AX275" s="420"/>
      <c r="AY275" s="420"/>
      <c r="AZ275" s="420"/>
      <c r="BB275" s="470">
        <f t="shared" ref="BB275:BB288" si="94">SUM(E275:AZ275)</f>
        <v>721098.30593409913</v>
      </c>
      <c r="BC275" s="476">
        <f t="shared" ref="BC275:BC288" si="95">+BB275+D275</f>
        <v>8957908.7799719796</v>
      </c>
      <c r="BD275" s="444"/>
      <c r="BE275" s="173"/>
      <c r="BF275" s="336"/>
    </row>
    <row r="276" spans="1:58" outlineLevel="1" x14ac:dyDescent="0.35">
      <c r="A276" s="336">
        <f t="shared" si="90"/>
        <v>18</v>
      </c>
      <c r="B276" s="464" t="s">
        <v>60</v>
      </c>
      <c r="C276" s="465" t="s">
        <v>921</v>
      </c>
      <c r="D276" s="470">
        <f t="shared" si="93"/>
        <v>0</v>
      </c>
      <c r="E276" s="1306"/>
      <c r="F276" s="471"/>
      <c r="G276" s="471"/>
      <c r="H276" s="471"/>
      <c r="I276" s="471"/>
      <c r="J276" s="471"/>
      <c r="K276" s="471"/>
      <c r="L276" s="471"/>
      <c r="M276" s="471"/>
      <c r="N276" s="471"/>
      <c r="O276" s="471">
        <f>+'Common Adj'!GK20</f>
        <v>0</v>
      </c>
      <c r="P276" s="471"/>
      <c r="Q276" s="471"/>
      <c r="R276" s="471"/>
      <c r="S276" s="471"/>
      <c r="T276" s="471"/>
      <c r="U276" s="471"/>
      <c r="V276" s="471"/>
      <c r="W276" s="471"/>
      <c r="X276" s="471"/>
      <c r="Y276" s="471"/>
      <c r="Z276" s="518">
        <f>'Common Adj'!OA$17</f>
        <v>0</v>
      </c>
      <c r="AA276" s="471"/>
      <c r="AB276" s="471"/>
      <c r="AC276" s="471"/>
      <c r="AD276" s="471"/>
      <c r="AE276" s="471"/>
      <c r="AF276" s="471"/>
      <c r="AG276" s="471"/>
      <c r="AH276" s="471"/>
      <c r="AI276" s="471"/>
      <c r="AJ276" s="471"/>
      <c r="AK276" s="471"/>
      <c r="AL276" s="471"/>
      <c r="AM276" s="471"/>
      <c r="AN276" s="471"/>
      <c r="AO276" s="471"/>
      <c r="AP276" s="471"/>
      <c r="AQ276" s="471"/>
      <c r="AR276" s="471"/>
      <c r="AS276" s="1306"/>
      <c r="AT276" s="471"/>
      <c r="AU276" s="471"/>
      <c r="AV276" s="471"/>
      <c r="AW276" s="471"/>
      <c r="AX276" s="471"/>
      <c r="AY276" s="471"/>
      <c r="AZ276" s="471"/>
      <c r="BB276" s="470">
        <f t="shared" si="94"/>
        <v>0</v>
      </c>
      <c r="BC276" s="470">
        <f t="shared" si="95"/>
        <v>0</v>
      </c>
      <c r="BD276" s="444"/>
      <c r="BE276" s="173"/>
      <c r="BF276" s="336"/>
    </row>
    <row r="277" spans="1:58" outlineLevel="1" x14ac:dyDescent="0.35">
      <c r="A277" s="336">
        <f t="shared" si="90"/>
        <v>19</v>
      </c>
      <c r="B277" s="464" t="s">
        <v>61</v>
      </c>
      <c r="C277" s="465" t="s">
        <v>921</v>
      </c>
      <c r="D277" s="470">
        <f t="shared" si="93"/>
        <v>88682038.861851916</v>
      </c>
      <c r="E277" s="1306"/>
      <c r="F277" s="471"/>
      <c r="G277" s="471"/>
      <c r="H277" s="471"/>
      <c r="I277" s="471"/>
      <c r="J277" s="471"/>
      <c r="K277" s="471"/>
      <c r="L277" s="471"/>
      <c r="M277" s="471"/>
      <c r="N277" s="471"/>
      <c r="O277" s="471">
        <f>+'Common Adj'!GK21</f>
        <v>844.07238474977203</v>
      </c>
      <c r="P277" s="471"/>
      <c r="Q277" s="471"/>
      <c r="R277" s="471"/>
      <c r="S277" s="471"/>
      <c r="T277" s="471"/>
      <c r="U277" s="471"/>
      <c r="V277" s="471"/>
      <c r="W277" s="471"/>
      <c r="X277" s="471"/>
      <c r="Y277" s="471"/>
      <c r="Z277" s="518">
        <f>'Common Adj'!OA$18</f>
        <v>-1042502.3166014254</v>
      </c>
      <c r="AA277" s="471"/>
      <c r="AB277" s="471"/>
      <c r="AC277" s="471"/>
      <c r="AD277" s="471"/>
      <c r="AE277" s="471"/>
      <c r="AF277" s="471"/>
      <c r="AG277" s="471"/>
      <c r="AH277" s="471"/>
      <c r="AI277" s="471"/>
      <c r="AJ277" s="471"/>
      <c r="AK277" s="471"/>
      <c r="AL277" s="471"/>
      <c r="AM277" s="471"/>
      <c r="AN277" s="471"/>
      <c r="AO277" s="471"/>
      <c r="AP277" s="471"/>
      <c r="AQ277" s="471"/>
      <c r="AR277" s="471"/>
      <c r="AS277" s="1306"/>
      <c r="AT277" s="471"/>
      <c r="AU277" s="471"/>
      <c r="AV277" s="471"/>
      <c r="AW277" s="471"/>
      <c r="AX277" s="471"/>
      <c r="AY277" s="471"/>
      <c r="AZ277" s="471"/>
      <c r="BB277" s="470">
        <f t="shared" si="94"/>
        <v>-1041658.2442166756</v>
      </c>
      <c r="BC277" s="470">
        <f t="shared" si="95"/>
        <v>87640380.617635235</v>
      </c>
      <c r="BD277" s="444"/>
      <c r="BE277" s="173"/>
      <c r="BF277" s="336"/>
    </row>
    <row r="278" spans="1:58" outlineLevel="1" x14ac:dyDescent="0.35">
      <c r="A278" s="336">
        <f t="shared" si="90"/>
        <v>20</v>
      </c>
      <c r="B278" s="464" t="s">
        <v>62</v>
      </c>
      <c r="C278" s="465" t="s">
        <v>921</v>
      </c>
      <c r="D278" s="470">
        <f t="shared" si="93"/>
        <v>16327197.647432098</v>
      </c>
      <c r="E278" s="1306">
        <f>'Common Adj'!$M$64</f>
        <v>-1407.1740130000001</v>
      </c>
      <c r="F278" s="471"/>
      <c r="G278" s="471"/>
      <c r="H278" s="471"/>
      <c r="I278" s="471"/>
      <c r="J278" s="471"/>
      <c r="K278" s="471"/>
      <c r="L278" s="471"/>
      <c r="M278" s="471"/>
      <c r="N278" s="471"/>
      <c r="O278" s="471">
        <f>+'Common Adj'!GK22</f>
        <v>188.64828132116236</v>
      </c>
      <c r="P278" s="471"/>
      <c r="Q278" s="471"/>
      <c r="R278" s="471"/>
      <c r="S278" s="471"/>
      <c r="T278" s="471"/>
      <c r="U278" s="471"/>
      <c r="V278" s="471"/>
      <c r="W278" s="471"/>
      <c r="X278" s="471"/>
      <c r="Y278" s="471"/>
      <c r="Z278" s="518">
        <f>'Common Adj'!OA$19</f>
        <v>-1383595.0370425768</v>
      </c>
      <c r="AA278" s="471"/>
      <c r="AB278" s="471"/>
      <c r="AC278" s="471"/>
      <c r="AD278" s="471"/>
      <c r="AE278" s="471"/>
      <c r="AF278" s="471"/>
      <c r="AG278" s="471"/>
      <c r="AH278" s="471"/>
      <c r="AI278" s="471"/>
      <c r="AJ278" s="471"/>
      <c r="AK278" s="471"/>
      <c r="AL278" s="471"/>
      <c r="AM278" s="471"/>
      <c r="AN278" s="471"/>
      <c r="AO278" s="471"/>
      <c r="AP278" s="471"/>
      <c r="AQ278" s="471"/>
      <c r="AR278" s="471"/>
      <c r="AS278" s="1306"/>
      <c r="AT278" s="471"/>
      <c r="AU278" s="471"/>
      <c r="AV278" s="471"/>
      <c r="AW278" s="471"/>
      <c r="AX278" s="471"/>
      <c r="AY278" s="471"/>
      <c r="AZ278" s="471"/>
      <c r="BB278" s="470">
        <f t="shared" si="94"/>
        <v>-1384813.5627742556</v>
      </c>
      <c r="BC278" s="470">
        <f t="shared" si="95"/>
        <v>14942384.084657842</v>
      </c>
      <c r="BD278" s="444"/>
      <c r="BE278" s="173"/>
      <c r="BF278" s="336"/>
    </row>
    <row r="279" spans="1:58" outlineLevel="1" x14ac:dyDescent="0.35">
      <c r="A279" s="336">
        <f t="shared" si="90"/>
        <v>21</v>
      </c>
      <c r="B279" s="464" t="s">
        <v>63</v>
      </c>
      <c r="C279" s="465" t="s">
        <v>921</v>
      </c>
      <c r="D279" s="470">
        <f t="shared" si="93"/>
        <v>1875042.5248052441</v>
      </c>
      <c r="E279" s="1306"/>
      <c r="F279" s="471"/>
      <c r="G279" s="471"/>
      <c r="H279" s="471"/>
      <c r="I279" s="471"/>
      <c r="J279" s="471"/>
      <c r="K279" s="471"/>
      <c r="L279" s="471"/>
      <c r="M279" s="471"/>
      <c r="N279" s="471"/>
      <c r="O279" s="471">
        <f>+'Common Adj'!GK23+'Common Adj'!GK24</f>
        <v>32.527765172808813</v>
      </c>
      <c r="P279" s="471"/>
      <c r="Q279" s="471"/>
      <c r="R279" s="471"/>
      <c r="S279" s="471"/>
      <c r="T279" s="471"/>
      <c r="U279" s="471"/>
      <c r="V279" s="471"/>
      <c r="W279" s="471"/>
      <c r="X279" s="471"/>
      <c r="Y279" s="471"/>
      <c r="Z279" s="518">
        <f>'Common Adj'!OA$20</f>
        <v>-61313.328571709106</v>
      </c>
      <c r="AA279" s="471"/>
      <c r="AB279" s="471"/>
      <c r="AC279" s="471"/>
      <c r="AD279" s="471"/>
      <c r="AE279" s="471"/>
      <c r="AF279" s="471"/>
      <c r="AG279" s="471"/>
      <c r="AH279" s="471"/>
      <c r="AI279" s="471"/>
      <c r="AJ279" s="471"/>
      <c r="AK279" s="471"/>
      <c r="AL279" s="471"/>
      <c r="AM279" s="471"/>
      <c r="AN279" s="471"/>
      <c r="AO279" s="471"/>
      <c r="AP279" s="471"/>
      <c r="AQ279" s="471"/>
      <c r="AR279" s="471"/>
      <c r="AS279" s="1306"/>
      <c r="AT279" s="471"/>
      <c r="AU279" s="471"/>
      <c r="AV279" s="471"/>
      <c r="AW279" s="471"/>
      <c r="AX279" s="471"/>
      <c r="AY279" s="471"/>
      <c r="AZ279" s="471"/>
      <c r="BB279" s="470">
        <f t="shared" si="94"/>
        <v>-61280.800806536296</v>
      </c>
      <c r="BC279" s="470">
        <f t="shared" si="95"/>
        <v>1813761.7239987077</v>
      </c>
      <c r="BD279" s="444"/>
      <c r="BE279" s="173"/>
      <c r="BF279" s="336"/>
    </row>
    <row r="280" spans="1:58" outlineLevel="1" x14ac:dyDescent="0.35">
      <c r="A280" s="336">
        <f t="shared" si="90"/>
        <v>22</v>
      </c>
      <c r="B280" s="464" t="s">
        <v>64</v>
      </c>
      <c r="C280" s="465" t="s">
        <v>921</v>
      </c>
      <c r="D280" s="470">
        <f t="shared" si="93"/>
        <v>0</v>
      </c>
      <c r="E280" s="1306"/>
      <c r="F280" s="471"/>
      <c r="G280" s="471"/>
      <c r="H280" s="471"/>
      <c r="I280" s="471"/>
      <c r="J280" s="471"/>
      <c r="K280" s="471"/>
      <c r="L280" s="471"/>
      <c r="M280" s="471"/>
      <c r="N280" s="471"/>
      <c r="O280" s="471"/>
      <c r="P280" s="471"/>
      <c r="Q280" s="471"/>
      <c r="R280" s="471"/>
      <c r="S280" s="471"/>
      <c r="T280" s="471"/>
      <c r="U280" s="471"/>
      <c r="V280" s="471"/>
      <c r="W280" s="471"/>
      <c r="X280" s="471"/>
      <c r="Y280" s="471"/>
      <c r="Z280" s="518">
        <f>'Common Adj'!OA$21</f>
        <v>0</v>
      </c>
      <c r="AA280" s="471"/>
      <c r="AB280" s="471"/>
      <c r="AC280" s="471"/>
      <c r="AD280" s="471"/>
      <c r="AE280" s="471"/>
      <c r="AF280" s="471"/>
      <c r="AG280" s="471"/>
      <c r="AH280" s="471"/>
      <c r="AI280" s="471"/>
      <c r="AJ280" s="471"/>
      <c r="AK280" s="471"/>
      <c r="AL280" s="471"/>
      <c r="AM280" s="471"/>
      <c r="AN280" s="471"/>
      <c r="AO280" s="471"/>
      <c r="AP280" s="471"/>
      <c r="AQ280" s="471"/>
      <c r="AR280" s="471"/>
      <c r="AS280" s="1306"/>
      <c r="AT280" s="471"/>
      <c r="AU280" s="471"/>
      <c r="AV280" s="471"/>
      <c r="AW280" s="471"/>
      <c r="AX280" s="471"/>
      <c r="AY280" s="471"/>
      <c r="AZ280" s="471"/>
      <c r="BB280" s="470">
        <f t="shared" si="94"/>
        <v>0</v>
      </c>
      <c r="BC280" s="470">
        <f t="shared" si="95"/>
        <v>0</v>
      </c>
      <c r="BD280" s="444"/>
      <c r="BE280" s="173"/>
      <c r="BF280" s="336"/>
    </row>
    <row r="281" spans="1:58" outlineLevel="1" x14ac:dyDescent="0.35">
      <c r="A281" s="336">
        <f t="shared" si="90"/>
        <v>23</v>
      </c>
      <c r="B281" s="464" t="s">
        <v>65</v>
      </c>
      <c r="C281" s="465" t="s">
        <v>921</v>
      </c>
      <c r="D281" s="470">
        <f t="shared" si="93"/>
        <v>63689240.129760116</v>
      </c>
      <c r="E281" s="1306">
        <f>'Common Adj'!$M$65</f>
        <v>-1946.972</v>
      </c>
      <c r="F281" s="471"/>
      <c r="G281" s="471"/>
      <c r="H281" s="471"/>
      <c r="I281" s="471"/>
      <c r="J281" s="471"/>
      <c r="K281" s="471"/>
      <c r="L281" s="471"/>
      <c r="M281" s="471"/>
      <c r="N281" s="471"/>
      <c r="O281" s="471">
        <f>+'Common Adj'!GK25</f>
        <v>565.25385706778616</v>
      </c>
      <c r="P281" s="471"/>
      <c r="Q281" s="471"/>
      <c r="R281" s="471"/>
      <c r="S281" s="471"/>
      <c r="T281" s="471"/>
      <c r="U281" s="471"/>
      <c r="V281" s="471"/>
      <c r="W281" s="471"/>
      <c r="X281" s="471"/>
      <c r="Y281" s="471"/>
      <c r="Z281" s="518">
        <f>'Common Adj'!OA$22</f>
        <v>7288826.6880556718</v>
      </c>
      <c r="AA281" s="471"/>
      <c r="AB281" s="471"/>
      <c r="AC281" s="471"/>
      <c r="AD281" s="471"/>
      <c r="AE281" s="471"/>
      <c r="AF281" s="471"/>
      <c r="AG281" s="471"/>
      <c r="AH281" s="471"/>
      <c r="AI281" s="471"/>
      <c r="AJ281" s="471"/>
      <c r="AK281" s="471"/>
      <c r="AL281" s="471"/>
      <c r="AM281" s="471"/>
      <c r="AN281" s="471"/>
      <c r="AO281" s="471">
        <f>'Common Adj'!WK16</f>
        <v>14131.56108006672</v>
      </c>
      <c r="AP281" s="471"/>
      <c r="AQ281" s="471"/>
      <c r="AR281" s="471"/>
      <c r="AS281" s="1306"/>
      <c r="AT281" s="471"/>
      <c r="AU281" s="471"/>
      <c r="AV281" s="471"/>
      <c r="AW281" s="471"/>
      <c r="AX281" s="471"/>
      <c r="AY281" s="471"/>
      <c r="AZ281" s="471"/>
      <c r="BB281" s="470">
        <f t="shared" si="94"/>
        <v>7301576.530992806</v>
      </c>
      <c r="BC281" s="470">
        <f t="shared" si="95"/>
        <v>70990816.660752922</v>
      </c>
      <c r="BD281" s="444"/>
      <c r="BE281" s="173"/>
      <c r="BF281" s="336"/>
    </row>
    <row r="282" spans="1:58" outlineLevel="1" x14ac:dyDescent="0.35">
      <c r="A282" s="336">
        <f t="shared" si="90"/>
        <v>24</v>
      </c>
      <c r="B282" s="464" t="s">
        <v>66</v>
      </c>
      <c r="C282" s="465" t="s">
        <v>921</v>
      </c>
      <c r="D282" s="470">
        <f t="shared" si="93"/>
        <v>261594800.04505476</v>
      </c>
      <c r="E282" s="1308"/>
      <c r="F282" s="341"/>
      <c r="G282" s="341"/>
      <c r="H282" s="341"/>
      <c r="I282" s="341"/>
      <c r="J282" s="341"/>
      <c r="K282" s="341"/>
      <c r="L282" s="341"/>
      <c r="M282" s="341"/>
      <c r="N282" s="341"/>
      <c r="O282" s="341"/>
      <c r="P282" s="341"/>
      <c r="Q282" s="341"/>
      <c r="R282" s="341"/>
      <c r="S282" s="341"/>
      <c r="T282" s="341"/>
      <c r="U282" s="341"/>
      <c r="V282" s="341"/>
      <c r="W282" s="341"/>
      <c r="X282" s="341"/>
      <c r="Y282" s="341"/>
      <c r="Z282" s="518"/>
      <c r="AA282" s="341"/>
      <c r="AB282" s="341"/>
      <c r="AC282" s="341"/>
      <c r="AD282" s="341"/>
      <c r="AE282" s="472">
        <f>'Common Adj'!RN17+'Common Adj'!RN18</f>
        <v>-4411272.8182750046</v>
      </c>
      <c r="AF282" s="472">
        <f>'Common Adj'!SF16+'Common Adj'!SF17</f>
        <v>-629245.79000000108</v>
      </c>
      <c r="AG282" s="472">
        <f>'Common Adj'!$SX$16+'Common Adj'!$SX$17</f>
        <v>6901889.2056350037</v>
      </c>
      <c r="AH282" s="472">
        <f>'Common Adj'!$SX$34+'Common Adj'!$SX$35</f>
        <v>2294484.3099999977</v>
      </c>
      <c r="AI282" s="472">
        <f>'Common Adj'!$SX$52+'Common Adj'!$SX$53</f>
        <v>0</v>
      </c>
      <c r="AJ282" s="472">
        <f>'Common Adj'!$SX$70+'Common Adj'!$SX$71</f>
        <v>1882505.4869500003</v>
      </c>
      <c r="AK282" s="341"/>
      <c r="AL282" s="341"/>
      <c r="AM282" s="471"/>
      <c r="AN282" s="341"/>
      <c r="AO282" s="341"/>
      <c r="AP282" s="341"/>
      <c r="AQ282" s="341"/>
      <c r="AR282" s="471">
        <f>'Gas Adj'!CY25</f>
        <v>-748928.48779001692</v>
      </c>
      <c r="AS282" s="1306">
        <f>'Gas Adj'!DH25</f>
        <v>0</v>
      </c>
      <c r="AT282" s="420"/>
      <c r="AU282" s="341"/>
      <c r="AV282" s="341"/>
      <c r="AW282" s="471"/>
      <c r="AX282" s="341"/>
      <c r="AY282" s="341"/>
      <c r="AZ282" s="341"/>
      <c r="BB282" s="470">
        <f t="shared" si="94"/>
        <v>5289431.9065199792</v>
      </c>
      <c r="BC282" s="470">
        <f t="shared" si="95"/>
        <v>266884231.95157474</v>
      </c>
      <c r="BD282" s="444"/>
      <c r="BE282" s="173"/>
      <c r="BF282" s="336"/>
    </row>
    <row r="283" spans="1:58" outlineLevel="1" x14ac:dyDescent="0.35">
      <c r="A283" s="336">
        <f t="shared" si="90"/>
        <v>25</v>
      </c>
      <c r="B283" s="464" t="s">
        <v>67</v>
      </c>
      <c r="C283" s="465" t="s">
        <v>921</v>
      </c>
      <c r="D283" s="470">
        <f t="shared" si="93"/>
        <v>36379318.171449929</v>
      </c>
      <c r="E283" s="1306"/>
      <c r="F283" s="471"/>
      <c r="G283" s="471"/>
      <c r="H283" s="471"/>
      <c r="I283" s="471"/>
      <c r="J283" s="471"/>
      <c r="K283" s="471"/>
      <c r="L283" s="471"/>
      <c r="M283" s="471"/>
      <c r="N283" s="471"/>
      <c r="O283" s="471"/>
      <c r="P283" s="471"/>
      <c r="Q283" s="471"/>
      <c r="R283" s="471"/>
      <c r="S283" s="471"/>
      <c r="T283" s="471"/>
      <c r="U283" s="471"/>
      <c r="V283" s="471"/>
      <c r="W283" s="471"/>
      <c r="X283" s="471"/>
      <c r="Y283" s="471"/>
      <c r="Z283" s="720"/>
      <c r="AA283" s="471"/>
      <c r="AB283" s="471"/>
      <c r="AC283" s="471"/>
      <c r="AD283" s="471"/>
      <c r="AE283" s="471">
        <f>'Common Adj'!RN19+'Common Adj'!RN20</f>
        <v>-4608053.669219967</v>
      </c>
      <c r="AF283" s="471">
        <f>'Common Adj'!SF18+'Common Adj'!SF19</f>
        <v>0</v>
      </c>
      <c r="AG283" s="472">
        <f>'Common Adj'!$SX$18+'Common Adj'!$SX$19</f>
        <v>3676415.3456249991</v>
      </c>
      <c r="AH283" s="472">
        <f>'Common Adj'!$SX$36+'Common Adj'!$SX$37</f>
        <v>0</v>
      </c>
      <c r="AI283" s="472">
        <f>'Common Adj'!$SX$54+'Common Adj'!$SX$55</f>
        <v>243767.49736000001</v>
      </c>
      <c r="AJ283" s="472">
        <f>'Common Adj'!$SX$72+'Common Adj'!$SX$73</f>
        <v>6463125.7664349992</v>
      </c>
      <c r="AK283" s="471"/>
      <c r="AL283" s="471"/>
      <c r="AM283" s="471"/>
      <c r="AN283" s="471"/>
      <c r="AO283" s="471"/>
      <c r="AP283" s="471"/>
      <c r="AQ283" s="471"/>
      <c r="AR283" s="471">
        <f>'Gas Adj'!CY26</f>
        <v>-117906.41138000035</v>
      </c>
      <c r="AS283" s="1306">
        <f>'Gas Adj'!DH26</f>
        <v>0</v>
      </c>
      <c r="AT283" s="471"/>
      <c r="AU283" s="471"/>
      <c r="AV283" s="471"/>
      <c r="AW283" s="471"/>
      <c r="AX283" s="471"/>
      <c r="AY283" s="471"/>
      <c r="AZ283" s="471"/>
      <c r="BB283" s="470">
        <f t="shared" si="94"/>
        <v>5657348.5288200313</v>
      </c>
      <c r="BC283" s="470">
        <f t="shared" si="95"/>
        <v>42036666.70026996</v>
      </c>
      <c r="BD283" s="444"/>
      <c r="BE283" s="173"/>
      <c r="BF283" s="336"/>
    </row>
    <row r="284" spans="1:58" outlineLevel="1" x14ac:dyDescent="0.35">
      <c r="A284" s="336">
        <f t="shared" si="90"/>
        <v>26</v>
      </c>
      <c r="B284" s="480" t="s">
        <v>68</v>
      </c>
      <c r="C284" s="465" t="s">
        <v>921</v>
      </c>
      <c r="D284" s="470">
        <f t="shared" si="93"/>
        <v>0</v>
      </c>
      <c r="E284" s="1306"/>
      <c r="F284" s="471"/>
      <c r="G284" s="471"/>
      <c r="H284" s="471"/>
      <c r="I284" s="471"/>
      <c r="J284" s="471"/>
      <c r="K284" s="471"/>
      <c r="L284" s="471"/>
      <c r="M284" s="471"/>
      <c r="N284" s="471"/>
      <c r="O284" s="471"/>
      <c r="P284" s="471"/>
      <c r="Q284" s="471"/>
      <c r="R284" s="471"/>
      <c r="S284" s="471"/>
      <c r="T284" s="471"/>
      <c r="U284" s="471"/>
      <c r="V284" s="471"/>
      <c r="W284" s="471"/>
      <c r="X284" s="471"/>
      <c r="Y284" s="471"/>
      <c r="Z284" s="720"/>
      <c r="AA284" s="471"/>
      <c r="AB284" s="471"/>
      <c r="AC284" s="471"/>
      <c r="AD284" s="471"/>
      <c r="AE284" s="471"/>
      <c r="AF284" s="471"/>
      <c r="AG284" s="472"/>
      <c r="AH284" s="472"/>
      <c r="AI284" s="472"/>
      <c r="AJ284" s="472"/>
      <c r="AK284" s="471"/>
      <c r="AL284" s="471"/>
      <c r="AM284" s="471"/>
      <c r="AN284" s="471"/>
      <c r="AO284" s="471"/>
      <c r="AP284" s="471"/>
      <c r="AQ284" s="471"/>
      <c r="AR284" s="471"/>
      <c r="AS284" s="1306"/>
      <c r="AT284" s="471"/>
      <c r="AU284" s="471"/>
      <c r="AV284" s="471"/>
      <c r="AW284" s="471"/>
      <c r="AX284" s="471"/>
      <c r="AY284" s="471"/>
      <c r="AZ284" s="471"/>
      <c r="BB284" s="470">
        <f t="shared" si="94"/>
        <v>0</v>
      </c>
      <c r="BC284" s="470">
        <f t="shared" si="95"/>
        <v>0</v>
      </c>
      <c r="BD284" s="444"/>
      <c r="BE284" s="173"/>
      <c r="BF284" s="336"/>
    </row>
    <row r="285" spans="1:58" outlineLevel="1" x14ac:dyDescent="0.35">
      <c r="A285" s="336">
        <f t="shared" si="90"/>
        <v>27</v>
      </c>
      <c r="B285" s="464" t="s">
        <v>69</v>
      </c>
      <c r="C285" s="465" t="s">
        <v>921</v>
      </c>
      <c r="D285" s="470">
        <f t="shared" si="93"/>
        <v>24708100.678042449</v>
      </c>
      <c r="E285" s="1306"/>
      <c r="F285" s="471"/>
      <c r="G285" s="471"/>
      <c r="H285" s="471"/>
      <c r="I285" s="471"/>
      <c r="J285" s="471"/>
      <c r="K285" s="471"/>
      <c r="L285" s="471"/>
      <c r="M285" s="471"/>
      <c r="N285" s="471"/>
      <c r="O285" s="471"/>
      <c r="P285" s="471"/>
      <c r="Q285" s="471"/>
      <c r="R285" s="471"/>
      <c r="S285" s="471">
        <f>'Common Adj'!JE18</f>
        <v>-1877404.0336111076</v>
      </c>
      <c r="T285" s="471"/>
      <c r="U285" s="471"/>
      <c r="V285" s="471"/>
      <c r="W285" s="471"/>
      <c r="X285" s="471"/>
      <c r="Y285" s="471"/>
      <c r="Z285" s="518"/>
      <c r="AA285" s="471"/>
      <c r="AB285" s="471"/>
      <c r="AC285" s="471">
        <f>'Common Adj'!QC17</f>
        <v>-1789107.5335728293</v>
      </c>
      <c r="AD285" s="471"/>
      <c r="AE285" s="471"/>
      <c r="AF285" s="471"/>
      <c r="AG285" s="472"/>
      <c r="AH285" s="472"/>
      <c r="AI285" s="472"/>
      <c r="AJ285" s="472"/>
      <c r="AK285" s="471"/>
      <c r="AL285" s="471">
        <f>'Common Adj'!VC24</f>
        <v>0</v>
      </c>
      <c r="AM285" s="471"/>
      <c r="AN285" s="471"/>
      <c r="AO285" s="471"/>
      <c r="AP285" s="471"/>
      <c r="AQ285" s="471">
        <f>'Gas Adj'!CG44-'Gas Adj'!CG33-'Gas Adj'!CG36</f>
        <v>-3158565.3603837881</v>
      </c>
      <c r="AR285" s="471"/>
      <c r="AS285" s="1306">
        <v>3852325</v>
      </c>
      <c r="AT285" s="471"/>
      <c r="AU285" s="471"/>
      <c r="AV285" s="471"/>
      <c r="AW285" s="471"/>
      <c r="AX285" s="471"/>
      <c r="AY285" s="471"/>
      <c r="AZ285" s="471"/>
      <c r="BB285" s="470">
        <f t="shared" si="94"/>
        <v>-2972751.9275677251</v>
      </c>
      <c r="BC285" s="470">
        <f t="shared" si="95"/>
        <v>21735348.750474725</v>
      </c>
      <c r="BD285" s="444"/>
      <c r="BE285" s="173"/>
      <c r="BF285" s="336"/>
    </row>
    <row r="286" spans="1:58" outlineLevel="1" x14ac:dyDescent="0.35">
      <c r="A286" s="336">
        <f t="shared" si="90"/>
        <v>28</v>
      </c>
      <c r="B286" s="464" t="s">
        <v>70</v>
      </c>
      <c r="C286" s="465" t="s">
        <v>921</v>
      </c>
      <c r="D286" s="470">
        <f t="shared" si="93"/>
        <v>24258785.916667935</v>
      </c>
      <c r="E286" s="1306">
        <f>'Common Adj'!$M$66</f>
        <v>-18695.311887</v>
      </c>
      <c r="F286" s="471"/>
      <c r="G286" s="471"/>
      <c r="H286" s="471"/>
      <c r="I286" s="471"/>
      <c r="J286" s="471"/>
      <c r="K286" s="471"/>
      <c r="L286" s="471"/>
      <c r="M286" s="471"/>
      <c r="N286" s="471"/>
      <c r="O286" s="471">
        <f>+'Common Adj'!GK28</f>
        <v>155.74030751886735</v>
      </c>
      <c r="P286" s="471"/>
      <c r="Q286" s="471"/>
      <c r="R286" s="471"/>
      <c r="S286" s="471"/>
      <c r="T286" s="471"/>
      <c r="U286" s="471"/>
      <c r="V286" s="471"/>
      <c r="W286" s="471"/>
      <c r="X286" s="471"/>
      <c r="Y286" s="471"/>
      <c r="Z286" s="720">
        <f>'Common Adj'!OA$23</f>
        <v>2190298.4134793999</v>
      </c>
      <c r="AA286" s="471"/>
      <c r="AB286" s="471"/>
      <c r="AC286" s="471"/>
      <c r="AD286" s="471"/>
      <c r="AE286" s="471"/>
      <c r="AF286" s="471"/>
      <c r="AG286" s="472"/>
      <c r="AH286" s="472"/>
      <c r="AI286" s="472"/>
      <c r="AJ286" s="472"/>
      <c r="AK286" s="471"/>
      <c r="AL286" s="471"/>
      <c r="AM286" s="471"/>
      <c r="AN286" s="471"/>
      <c r="AO286" s="471"/>
      <c r="AP286" s="471"/>
      <c r="AQ286" s="471"/>
      <c r="AR286" s="471"/>
      <c r="AS286" s="1306"/>
      <c r="AT286" s="471"/>
      <c r="AU286" s="471"/>
      <c r="AV286" s="471"/>
      <c r="AW286" s="471"/>
      <c r="AX286" s="471"/>
      <c r="AY286" s="471"/>
      <c r="AZ286" s="471"/>
      <c r="BB286" s="470">
        <f t="shared" si="94"/>
        <v>2171758.8418999189</v>
      </c>
      <c r="BC286" s="470">
        <f t="shared" si="95"/>
        <v>26430544.758567855</v>
      </c>
      <c r="BD286" s="444"/>
      <c r="BE286" s="173"/>
      <c r="BF286" s="336"/>
    </row>
    <row r="287" spans="1:58" outlineLevel="1" x14ac:dyDescent="0.35">
      <c r="A287" s="336">
        <f t="shared" si="90"/>
        <v>29</v>
      </c>
      <c r="B287" s="464" t="s">
        <v>71</v>
      </c>
      <c r="C287" s="465" t="s">
        <v>921</v>
      </c>
      <c r="D287" s="470">
        <f t="shared" si="93"/>
        <v>-9557419.2651374452</v>
      </c>
      <c r="E287" s="1306">
        <f>'Common Adj'!$M$70</f>
        <v>-97585.643840999997</v>
      </c>
      <c r="F287" s="471"/>
      <c r="G287" s="471"/>
      <c r="H287" s="471"/>
      <c r="I287" s="471">
        <f>'Common Adj'!CG23</f>
        <v>-100756.73972158178</v>
      </c>
      <c r="J287" s="471"/>
      <c r="K287" s="471"/>
      <c r="L287" s="471"/>
      <c r="M287" s="471"/>
      <c r="N287" s="471"/>
      <c r="O287" s="471">
        <f>+'Common Adj'!GK31</f>
        <v>-404.78128458990801</v>
      </c>
      <c r="P287" s="471"/>
      <c r="Q287" s="471"/>
      <c r="R287" s="471"/>
      <c r="S287" s="471">
        <f>'Common Adj'!JE21</f>
        <v>394254.84705833258</v>
      </c>
      <c r="T287" s="471"/>
      <c r="U287" s="471"/>
      <c r="V287" s="471"/>
      <c r="W287" s="471"/>
      <c r="X287" s="471"/>
      <c r="Y287" s="471"/>
      <c r="Z287" s="720">
        <f>'Common Adj'!OA$30</f>
        <v>-1619661.0019637609</v>
      </c>
      <c r="AA287" s="471"/>
      <c r="AB287" s="471"/>
      <c r="AC287" s="471">
        <f>'Common Adj'!QC20</f>
        <v>375712.58205029415</v>
      </c>
      <c r="AD287" s="471"/>
      <c r="AE287" s="471">
        <f>'Common Adj'!RN29</f>
        <v>1894058.5623739439</v>
      </c>
      <c r="AF287" s="471">
        <f>'Common Adj'!SF28</f>
        <v>132141.61590000024</v>
      </c>
      <c r="AG287" s="472">
        <f>'Common Adj'!$SX$24</f>
        <v>-2221443.9557646005</v>
      </c>
      <c r="AH287" s="472">
        <f>'Common Adj'!$SX$42</f>
        <v>-481841.7050999995</v>
      </c>
      <c r="AI287" s="472">
        <f>'Common Adj'!$SX$60</f>
        <v>-51191.174445600001</v>
      </c>
      <c r="AJ287" s="472">
        <f>'Common Adj'!$SX$78</f>
        <v>-1752582.5632108499</v>
      </c>
      <c r="AK287" s="471"/>
      <c r="AL287" s="471">
        <f>'Common Adj'!VC26</f>
        <v>0</v>
      </c>
      <c r="AM287" s="471"/>
      <c r="AN287" s="471"/>
      <c r="AO287" s="471">
        <f>'Common Adj'!WK20</f>
        <v>-2967.6278268140113</v>
      </c>
      <c r="AP287" s="471"/>
      <c r="AQ287" s="471">
        <f>'Gas Adj'!CG46</f>
        <v>1215695.834247157</v>
      </c>
      <c r="AR287" s="471">
        <f>'Gas Adj'!CY29</f>
        <v>182035.32882570365</v>
      </c>
      <c r="AS287" s="1306">
        <f>'Gas Adj'!DH29</f>
        <v>0</v>
      </c>
      <c r="AT287" s="415"/>
      <c r="AU287" s="471"/>
      <c r="AV287" s="471"/>
      <c r="AW287" s="471"/>
      <c r="AX287" s="471"/>
      <c r="AY287" s="471"/>
      <c r="AZ287" s="471"/>
      <c r="BB287" s="470">
        <f t="shared" si="94"/>
        <v>-2134536.4227033649</v>
      </c>
      <c r="BC287" s="470">
        <f t="shared" si="95"/>
        <v>-11691955.68784081</v>
      </c>
      <c r="BD287" s="444"/>
      <c r="BE287" s="173"/>
      <c r="BF287" s="336"/>
    </row>
    <row r="288" spans="1:58" outlineLevel="1" x14ac:dyDescent="0.35">
      <c r="A288" s="336">
        <f t="shared" si="90"/>
        <v>30</v>
      </c>
      <c r="B288" s="329" t="s">
        <v>72</v>
      </c>
      <c r="C288" s="465" t="s">
        <v>921</v>
      </c>
      <c r="D288" s="470">
        <f t="shared" si="93"/>
        <v>-10922291.989409678</v>
      </c>
      <c r="E288" s="1306"/>
      <c r="F288" s="471"/>
      <c r="G288" s="471"/>
      <c r="H288" s="471">
        <f>SUM('Common Adj'!BO17:BO19)</f>
        <v>-184598.59659993602</v>
      </c>
      <c r="I288" s="471"/>
      <c r="J288" s="471"/>
      <c r="K288" s="471"/>
      <c r="L288" s="471"/>
      <c r="M288" s="471"/>
      <c r="N288" s="471"/>
      <c r="O288" s="471"/>
      <c r="P288" s="471"/>
      <c r="Q288" s="471"/>
      <c r="R288" s="471"/>
      <c r="S288" s="471"/>
      <c r="T288" s="471"/>
      <c r="U288" s="471"/>
      <c r="V288" s="471"/>
      <c r="W288" s="47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1306"/>
      <c r="AT288" s="471"/>
      <c r="AU288" s="471"/>
      <c r="AV288" s="471"/>
      <c r="AW288" s="471"/>
      <c r="AX288" s="471"/>
      <c r="AY288" s="471"/>
      <c r="AZ288" s="471"/>
      <c r="BB288" s="470">
        <f t="shared" si="94"/>
        <v>-184598.59659993602</v>
      </c>
      <c r="BC288" s="470">
        <f t="shared" si="95"/>
        <v>-11106890.586009614</v>
      </c>
      <c r="BD288" s="444"/>
      <c r="BE288" s="173"/>
      <c r="BF288" s="336"/>
    </row>
    <row r="289" spans="1:58" outlineLevel="1" x14ac:dyDescent="0.35">
      <c r="A289" s="336">
        <f t="shared" si="90"/>
        <v>31</v>
      </c>
      <c r="B289" s="464" t="s">
        <v>2</v>
      </c>
      <c r="C289" s="465" t="s">
        <v>921</v>
      </c>
      <c r="D289" s="477">
        <f>SUM(D273:D288)</f>
        <v>505271623.19455522</v>
      </c>
      <c r="E289" s="1310">
        <f t="shared" ref="E289:AS289" si="96">SUM(E273:E288)</f>
        <v>-119635.10174099999</v>
      </c>
      <c r="F289" s="478">
        <f t="shared" si="96"/>
        <v>0</v>
      </c>
      <c r="G289" s="478">
        <f t="shared" si="96"/>
        <v>0</v>
      </c>
      <c r="H289" s="478">
        <f t="shared" si="96"/>
        <v>-184598.59659993602</v>
      </c>
      <c r="I289" s="478">
        <f t="shared" si="96"/>
        <v>-100756.73972158178</v>
      </c>
      <c r="J289" s="478">
        <f t="shared" si="96"/>
        <v>0</v>
      </c>
      <c r="K289" s="478">
        <f t="shared" si="96"/>
        <v>0</v>
      </c>
      <c r="L289" s="478">
        <f t="shared" si="96"/>
        <v>0</v>
      </c>
      <c r="M289" s="478">
        <f t="shared" si="96"/>
        <v>0</v>
      </c>
      <c r="N289" s="478">
        <f t="shared" si="96"/>
        <v>0</v>
      </c>
      <c r="O289" s="478">
        <f t="shared" si="96"/>
        <v>1522.7486420287016</v>
      </c>
      <c r="P289" s="478">
        <f t="shared" si="96"/>
        <v>0</v>
      </c>
      <c r="Q289" s="478">
        <f t="shared" si="96"/>
        <v>0</v>
      </c>
      <c r="R289" s="478">
        <f t="shared" si="96"/>
        <v>0</v>
      </c>
      <c r="S289" s="478">
        <f t="shared" si="96"/>
        <v>-1483149.1865527751</v>
      </c>
      <c r="T289" s="478">
        <f t="shared" si="96"/>
        <v>0</v>
      </c>
      <c r="U289" s="478">
        <f t="shared" si="96"/>
        <v>0</v>
      </c>
      <c r="V289" s="478">
        <f t="shared" si="96"/>
        <v>0</v>
      </c>
      <c r="W289" s="478">
        <f t="shared" si="96"/>
        <v>0</v>
      </c>
      <c r="X289" s="478">
        <f t="shared" si="96"/>
        <v>0</v>
      </c>
      <c r="Y289" s="478">
        <f t="shared" si="96"/>
        <v>0</v>
      </c>
      <c r="Z289" s="478">
        <f t="shared" si="96"/>
        <v>6093010.4359589107</v>
      </c>
      <c r="AA289" s="478">
        <f t="shared" si="96"/>
        <v>0</v>
      </c>
      <c r="AB289" s="478">
        <f t="shared" si="96"/>
        <v>0</v>
      </c>
      <c r="AC289" s="478">
        <f t="shared" si="96"/>
        <v>-1413394.9515225352</v>
      </c>
      <c r="AD289" s="478">
        <f t="shared" si="96"/>
        <v>0</v>
      </c>
      <c r="AE289" s="478">
        <f t="shared" si="96"/>
        <v>-7125267.925121028</v>
      </c>
      <c r="AF289" s="478">
        <f t="shared" si="96"/>
        <v>-497104.17410000088</v>
      </c>
      <c r="AG289" s="478">
        <f t="shared" si="96"/>
        <v>8356860.595495401</v>
      </c>
      <c r="AH289" s="478">
        <f t="shared" si="96"/>
        <v>1812642.6048999983</v>
      </c>
      <c r="AI289" s="478">
        <f t="shared" si="96"/>
        <v>192576.32291440002</v>
      </c>
      <c r="AJ289" s="478">
        <f t="shared" si="96"/>
        <v>6593048.6901741503</v>
      </c>
      <c r="AK289" s="478">
        <f t="shared" si="96"/>
        <v>0</v>
      </c>
      <c r="AL289" s="478">
        <f t="shared" si="96"/>
        <v>0</v>
      </c>
      <c r="AM289" s="479">
        <f t="shared" si="96"/>
        <v>0</v>
      </c>
      <c r="AN289" s="479">
        <f t="shared" si="96"/>
        <v>0</v>
      </c>
      <c r="AO289" s="479">
        <f t="shared" si="96"/>
        <v>11163.933253252708</v>
      </c>
      <c r="AP289" s="478">
        <f t="shared" si="96"/>
        <v>0</v>
      </c>
      <c r="AQ289" s="478">
        <f t="shared" si="96"/>
        <v>-1942869.5261366311</v>
      </c>
      <c r="AR289" s="478">
        <f t="shared" si="96"/>
        <v>-684799.57034431375</v>
      </c>
      <c r="AS289" s="1310">
        <f t="shared" si="96"/>
        <v>3852325</v>
      </c>
      <c r="AT289" s="478"/>
      <c r="AU289" s="478"/>
      <c r="AV289" s="478"/>
      <c r="AW289" s="478"/>
      <c r="AX289" s="478"/>
      <c r="AY289" s="478"/>
      <c r="AZ289" s="478"/>
      <c r="BB289" s="477">
        <f>SUM(BB273:BB288)</f>
        <v>13361574.55949834</v>
      </c>
      <c r="BC289" s="477">
        <f>SUM(BC273:BC288)</f>
        <v>518633197.75405347</v>
      </c>
      <c r="BD289" s="444"/>
      <c r="BE289" s="173"/>
      <c r="BF289" s="336"/>
    </row>
    <row r="290" spans="1:58" outlineLevel="1" x14ac:dyDescent="0.35">
      <c r="A290" s="336">
        <f t="shared" si="90"/>
        <v>32</v>
      </c>
      <c r="C290" s="465" t="s">
        <v>921</v>
      </c>
      <c r="D290" s="482"/>
      <c r="E290" s="1311"/>
      <c r="F290" s="363"/>
      <c r="G290" s="363"/>
      <c r="H290" s="363"/>
      <c r="I290" s="363"/>
      <c r="J290" s="363"/>
      <c r="K290" s="363"/>
      <c r="L290" s="363"/>
      <c r="M290" s="363"/>
      <c r="N290" s="363"/>
      <c r="O290" s="363"/>
      <c r="P290" s="363"/>
      <c r="Q290" s="363"/>
      <c r="R290" s="363"/>
      <c r="S290" s="363"/>
      <c r="T290" s="363"/>
      <c r="U290" s="363"/>
      <c r="V290" s="363"/>
      <c r="W290" s="363"/>
      <c r="X290" s="363"/>
      <c r="Y290" s="363"/>
      <c r="Z290" s="363"/>
      <c r="AA290" s="363"/>
      <c r="AB290" s="363"/>
      <c r="AC290" s="363"/>
      <c r="AD290" s="363"/>
      <c r="AE290" s="363"/>
      <c r="AF290" s="363"/>
      <c r="AG290" s="363"/>
      <c r="AH290" s="363"/>
      <c r="AI290" s="363"/>
      <c r="AJ290" s="363"/>
      <c r="AK290" s="363"/>
      <c r="AL290" s="363"/>
      <c r="AM290" s="483"/>
      <c r="AN290" s="363"/>
      <c r="AO290" s="363"/>
      <c r="AP290" s="363"/>
      <c r="AQ290" s="363"/>
      <c r="AR290" s="363"/>
      <c r="AS290" s="1311"/>
      <c r="AT290" s="363"/>
      <c r="AU290" s="363"/>
      <c r="AV290" s="363"/>
      <c r="AW290" s="363"/>
      <c r="AX290" s="363"/>
      <c r="AY290" s="363"/>
      <c r="AZ290" s="363"/>
      <c r="BB290" s="482"/>
      <c r="BC290" s="482"/>
      <c r="BD290" s="444"/>
      <c r="BE290" s="173"/>
      <c r="BF290" s="336"/>
    </row>
    <row r="291" spans="1:58" ht="15" outlineLevel="1" thickBot="1" x14ac:dyDescent="0.4">
      <c r="A291" s="336">
        <f t="shared" si="90"/>
        <v>33</v>
      </c>
      <c r="B291" s="329" t="s">
        <v>4</v>
      </c>
      <c r="C291" s="465" t="s">
        <v>921</v>
      </c>
      <c r="D291" s="484">
        <f>+D264-D289</f>
        <v>44897236.749018729</v>
      </c>
      <c r="E291" s="1312">
        <f t="shared" ref="E291:AS291" si="97">+E264-E289</f>
        <v>-367107.89825900004</v>
      </c>
      <c r="F291" s="485">
        <f t="shared" si="97"/>
        <v>0</v>
      </c>
      <c r="G291" s="485">
        <f t="shared" si="97"/>
        <v>0</v>
      </c>
      <c r="H291" s="485">
        <f t="shared" si="97"/>
        <v>184598.59659993602</v>
      </c>
      <c r="I291" s="485">
        <f t="shared" si="97"/>
        <v>100756.73972158178</v>
      </c>
      <c r="J291" s="485">
        <f t="shared" si="97"/>
        <v>0</v>
      </c>
      <c r="K291" s="485">
        <f t="shared" si="97"/>
        <v>0</v>
      </c>
      <c r="L291" s="485">
        <f t="shared" si="97"/>
        <v>0</v>
      </c>
      <c r="M291" s="485">
        <f t="shared" si="97"/>
        <v>0</v>
      </c>
      <c r="N291" s="485">
        <f t="shared" si="97"/>
        <v>0</v>
      </c>
      <c r="O291" s="485">
        <f t="shared" si="97"/>
        <v>-1522.7486420287016</v>
      </c>
      <c r="P291" s="485">
        <f t="shared" si="97"/>
        <v>0</v>
      </c>
      <c r="Q291" s="485">
        <f t="shared" si="97"/>
        <v>0</v>
      </c>
      <c r="R291" s="485">
        <f t="shared" si="97"/>
        <v>0</v>
      </c>
      <c r="S291" s="485">
        <f t="shared" si="97"/>
        <v>1483149.1865527751</v>
      </c>
      <c r="T291" s="485">
        <f t="shared" si="97"/>
        <v>0</v>
      </c>
      <c r="U291" s="485">
        <f t="shared" si="97"/>
        <v>0</v>
      </c>
      <c r="V291" s="485">
        <f t="shared" si="97"/>
        <v>0</v>
      </c>
      <c r="W291" s="485">
        <f t="shared" si="97"/>
        <v>0</v>
      </c>
      <c r="X291" s="485">
        <f t="shared" si="97"/>
        <v>0</v>
      </c>
      <c r="Y291" s="485">
        <f t="shared" si="97"/>
        <v>0</v>
      </c>
      <c r="Z291" s="485">
        <f t="shared" si="97"/>
        <v>-6093010.4359589107</v>
      </c>
      <c r="AA291" s="485">
        <f t="shared" si="97"/>
        <v>0</v>
      </c>
      <c r="AB291" s="485">
        <f t="shared" si="97"/>
        <v>0</v>
      </c>
      <c r="AC291" s="485">
        <f t="shared" si="97"/>
        <v>1413394.9515225352</v>
      </c>
      <c r="AD291" s="485">
        <f t="shared" si="97"/>
        <v>0</v>
      </c>
      <c r="AE291" s="485">
        <f t="shared" si="97"/>
        <v>7125267.925121028</v>
      </c>
      <c r="AF291" s="485">
        <f t="shared" si="97"/>
        <v>497104.17410000088</v>
      </c>
      <c r="AG291" s="485">
        <f t="shared" si="97"/>
        <v>-8356860.595495401</v>
      </c>
      <c r="AH291" s="485">
        <f t="shared" si="97"/>
        <v>-1812642.6048999983</v>
      </c>
      <c r="AI291" s="485">
        <f t="shared" si="97"/>
        <v>-192576.32291440002</v>
      </c>
      <c r="AJ291" s="485">
        <f t="shared" si="97"/>
        <v>-6593048.6901741503</v>
      </c>
      <c r="AK291" s="485">
        <f t="shared" si="97"/>
        <v>0</v>
      </c>
      <c r="AL291" s="485">
        <f t="shared" si="97"/>
        <v>0</v>
      </c>
      <c r="AM291" s="486">
        <f t="shared" si="97"/>
        <v>0</v>
      </c>
      <c r="AN291" s="486">
        <f t="shared" si="97"/>
        <v>0</v>
      </c>
      <c r="AO291" s="486">
        <f t="shared" si="97"/>
        <v>-11163.933253252708</v>
      </c>
      <c r="AP291" s="485">
        <f t="shared" si="97"/>
        <v>0</v>
      </c>
      <c r="AQ291" s="485">
        <f t="shared" si="97"/>
        <v>4573331.9478821624</v>
      </c>
      <c r="AR291" s="485">
        <f t="shared" si="97"/>
        <v>684799.57034431375</v>
      </c>
      <c r="AS291" s="1312">
        <f t="shared" si="97"/>
        <v>-3852325</v>
      </c>
      <c r="AT291" s="485"/>
      <c r="AU291" s="485"/>
      <c r="AV291" s="485"/>
      <c r="AW291" s="485"/>
      <c r="AX291" s="485"/>
      <c r="AY291" s="485"/>
      <c r="AZ291" s="485"/>
      <c r="BB291" s="484">
        <f>+BB264-BB289</f>
        <v>-11217855.137752809</v>
      </c>
      <c r="BC291" s="484">
        <f>+BC264-BC289</f>
        <v>33679381.611266017</v>
      </c>
      <c r="BD291" s="444"/>
      <c r="BE291" s="173"/>
      <c r="BF291" s="336"/>
    </row>
    <row r="292" spans="1:58" ht="12" customHeight="1" outlineLevel="1" thickTop="1" x14ac:dyDescent="0.35">
      <c r="A292" s="336">
        <f t="shared" si="90"/>
        <v>34</v>
      </c>
      <c r="B292"/>
      <c r="C292" s="465" t="s">
        <v>921</v>
      </c>
      <c r="D292" s="219"/>
      <c r="E292" s="1313"/>
      <c r="F292" s="416"/>
      <c r="G292" s="416"/>
      <c r="H292" s="416"/>
      <c r="I292" s="416"/>
      <c r="J292" s="416"/>
      <c r="K292" s="416"/>
      <c r="L292" s="416"/>
      <c r="M292" s="416"/>
      <c r="N292" s="416"/>
      <c r="O292" s="416"/>
      <c r="P292" s="416"/>
      <c r="Q292" s="416"/>
      <c r="R292" s="416"/>
      <c r="S292" s="416"/>
      <c r="T292" s="416"/>
      <c r="U292" s="416"/>
      <c r="V292" s="416"/>
      <c r="W292" s="416"/>
      <c r="X292" s="416"/>
      <c r="Y292" s="416"/>
      <c r="Z292" s="416"/>
      <c r="AA292" s="416"/>
      <c r="AB292" s="416"/>
      <c r="AC292" s="416"/>
      <c r="AD292" s="416"/>
      <c r="AE292" s="416"/>
      <c r="AF292" s="416"/>
      <c r="AG292" s="416"/>
      <c r="AH292" s="416"/>
      <c r="AI292" s="416"/>
      <c r="AJ292" s="416"/>
      <c r="AK292" s="416"/>
      <c r="AL292" s="416"/>
      <c r="AM292" s="116"/>
      <c r="AN292" s="416"/>
      <c r="AO292" s="416"/>
      <c r="AP292" s="416"/>
      <c r="AQ292" s="416"/>
      <c r="AR292" s="416"/>
      <c r="AS292" s="1313"/>
      <c r="AT292" s="416"/>
      <c r="AU292" s="416"/>
      <c r="AV292" s="416"/>
      <c r="AW292" s="416"/>
      <c r="AX292" s="416"/>
      <c r="AY292" s="416"/>
      <c r="AZ292" s="416"/>
      <c r="BB292" s="219"/>
      <c r="BC292" s="219"/>
      <c r="BD292" s="444"/>
      <c r="BE292" s="173"/>
      <c r="BF292" s="336"/>
    </row>
    <row r="293" spans="1:58" outlineLevel="1" x14ac:dyDescent="0.35">
      <c r="A293" s="336">
        <f t="shared" si="90"/>
        <v>35</v>
      </c>
      <c r="B293" s="464" t="s">
        <v>124</v>
      </c>
      <c r="C293" s="465" t="s">
        <v>921</v>
      </c>
      <c r="D293" s="476">
        <f>D304</f>
        <v>2866503992.9496732</v>
      </c>
      <c r="E293" s="1309">
        <f t="shared" ref="E293:AS293" si="98">E304</f>
        <v>0</v>
      </c>
      <c r="F293" s="420">
        <f t="shared" si="98"/>
        <v>0</v>
      </c>
      <c r="G293" s="420">
        <f t="shared" si="98"/>
        <v>0</v>
      </c>
      <c r="H293" s="420">
        <f t="shared" si="98"/>
        <v>0</v>
      </c>
      <c r="I293" s="420">
        <f t="shared" si="98"/>
        <v>0</v>
      </c>
      <c r="J293" s="420">
        <f t="shared" si="98"/>
        <v>0</v>
      </c>
      <c r="K293" s="420">
        <f t="shared" si="98"/>
        <v>0</v>
      </c>
      <c r="L293" s="420">
        <f t="shared" si="98"/>
        <v>0</v>
      </c>
      <c r="M293" s="420">
        <f t="shared" si="98"/>
        <v>0</v>
      </c>
      <c r="N293" s="420">
        <f t="shared" si="98"/>
        <v>0</v>
      </c>
      <c r="O293" s="420">
        <f t="shared" si="98"/>
        <v>0</v>
      </c>
      <c r="P293" s="420">
        <f t="shared" si="98"/>
        <v>0</v>
      </c>
      <c r="Q293" s="420">
        <f t="shared" si="98"/>
        <v>0</v>
      </c>
      <c r="R293" s="420">
        <f t="shared" si="98"/>
        <v>0</v>
      </c>
      <c r="S293" s="420">
        <f t="shared" si="98"/>
        <v>0</v>
      </c>
      <c r="T293" s="420">
        <f t="shared" si="98"/>
        <v>0</v>
      </c>
      <c r="U293" s="420">
        <f t="shared" si="98"/>
        <v>0</v>
      </c>
      <c r="V293" s="420">
        <f t="shared" si="98"/>
        <v>0</v>
      </c>
      <c r="W293" s="420">
        <f t="shared" si="98"/>
        <v>0</v>
      </c>
      <c r="X293" s="420">
        <f t="shared" si="98"/>
        <v>0</v>
      </c>
      <c r="Y293" s="420">
        <f t="shared" si="98"/>
        <v>0</v>
      </c>
      <c r="Z293" s="420">
        <f t="shared" si="98"/>
        <v>0</v>
      </c>
      <c r="AA293" s="420">
        <f t="shared" si="98"/>
        <v>0</v>
      </c>
      <c r="AB293" s="420">
        <f t="shared" si="98"/>
        <v>0</v>
      </c>
      <c r="AC293" s="420">
        <f t="shared" si="98"/>
        <v>0</v>
      </c>
      <c r="AD293" s="420">
        <f t="shared" si="98"/>
        <v>0</v>
      </c>
      <c r="AE293" s="420">
        <f t="shared" si="98"/>
        <v>-212142643.35983646</v>
      </c>
      <c r="AF293" s="420">
        <f t="shared" si="98"/>
        <v>1154341.1600000001</v>
      </c>
      <c r="AG293" s="420">
        <f t="shared" si="98"/>
        <v>122407421.21765506</v>
      </c>
      <c r="AH293" s="420">
        <f t="shared" si="98"/>
        <v>43611657.550000012</v>
      </c>
      <c r="AI293" s="420">
        <f t="shared" si="98"/>
        <v>1774798.5898300002</v>
      </c>
      <c r="AJ293" s="420">
        <f t="shared" si="98"/>
        <v>44104526.972805083</v>
      </c>
      <c r="AK293" s="420">
        <f t="shared" si="98"/>
        <v>0</v>
      </c>
      <c r="AL293" s="420">
        <f t="shared" si="98"/>
        <v>0</v>
      </c>
      <c r="AM293" s="420">
        <f t="shared" si="98"/>
        <v>0</v>
      </c>
      <c r="AN293" s="420">
        <f t="shared" si="98"/>
        <v>0</v>
      </c>
      <c r="AO293" s="420"/>
      <c r="AP293" s="420">
        <f t="shared" si="98"/>
        <v>0</v>
      </c>
      <c r="AQ293" s="420">
        <f t="shared" si="98"/>
        <v>-5437988.3141693044</v>
      </c>
      <c r="AR293" s="420">
        <f t="shared" si="98"/>
        <v>1152189.4358550543</v>
      </c>
      <c r="AS293" s="1309">
        <f t="shared" si="98"/>
        <v>0</v>
      </c>
      <c r="AT293" s="420"/>
      <c r="AU293" s="420"/>
      <c r="AV293" s="420"/>
      <c r="AW293" s="420"/>
      <c r="AX293" s="420"/>
      <c r="AY293" s="420"/>
      <c r="AZ293" s="420"/>
      <c r="BB293" s="476">
        <f>BB304</f>
        <v>-3375696.7478605136</v>
      </c>
      <c r="BC293" s="476">
        <f>BC304</f>
        <v>2863128296.2018123</v>
      </c>
      <c r="BD293" s="444"/>
      <c r="BE293" s="173"/>
      <c r="BF293" s="336"/>
    </row>
    <row r="294" spans="1:58" outlineLevel="1" x14ac:dyDescent="0.35">
      <c r="A294" s="336">
        <f t="shared" si="90"/>
        <v>36</v>
      </c>
      <c r="C294" s="465" t="s">
        <v>921</v>
      </c>
      <c r="D294" s="466"/>
      <c r="E294" s="1308"/>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c r="AF294" s="341"/>
      <c r="AG294" s="341"/>
      <c r="AH294" s="341"/>
      <c r="AI294" s="341"/>
      <c r="AJ294" s="341"/>
      <c r="AK294" s="341"/>
      <c r="AL294" s="341"/>
      <c r="AM294" s="487"/>
      <c r="AN294" s="341"/>
      <c r="AO294" s="341"/>
      <c r="AP294" s="341"/>
      <c r="AQ294" s="341"/>
      <c r="AR294" s="341"/>
      <c r="AS294" s="1308"/>
      <c r="AT294" s="341"/>
      <c r="AU294" s="341"/>
      <c r="AV294" s="341"/>
      <c r="AW294" s="341"/>
      <c r="AX294" s="341"/>
      <c r="AY294" s="341"/>
      <c r="AZ294" s="341"/>
      <c r="BB294" s="466"/>
      <c r="BC294" s="466"/>
      <c r="BD294" s="444"/>
      <c r="BE294" s="173"/>
      <c r="BF294" s="336"/>
    </row>
    <row r="295" spans="1:58" outlineLevel="1" x14ac:dyDescent="0.35">
      <c r="A295" s="336">
        <f t="shared" si="90"/>
        <v>37</v>
      </c>
      <c r="B295" s="464" t="s">
        <v>125</v>
      </c>
      <c r="C295" s="465" t="s">
        <v>921</v>
      </c>
      <c r="D295" s="488">
        <f>+D291/D293</f>
        <v>1.5662715579481484E-2</v>
      </c>
      <c r="E295" s="1306"/>
      <c r="F295" s="471"/>
      <c r="G295" s="471"/>
      <c r="H295" s="471"/>
      <c r="I295" s="471"/>
      <c r="J295" s="471"/>
      <c r="K295" s="471"/>
      <c r="L295" s="471"/>
      <c r="M295" s="471"/>
      <c r="N295" s="471"/>
      <c r="O295" s="471"/>
      <c r="P295" s="471"/>
      <c r="Q295" s="471"/>
      <c r="R295" s="471"/>
      <c r="S295" s="471"/>
      <c r="T295" s="471"/>
      <c r="U295" s="471"/>
      <c r="V295" s="471"/>
      <c r="W295" s="471"/>
      <c r="X295" s="471"/>
      <c r="Y295" s="471"/>
      <c r="Z295" s="471"/>
      <c r="AA295" s="471"/>
      <c r="AB295" s="471"/>
      <c r="AC295" s="471"/>
      <c r="AD295" s="471"/>
      <c r="AE295" s="471"/>
      <c r="AF295" s="471"/>
      <c r="AG295" s="471"/>
      <c r="AH295" s="471"/>
      <c r="AI295" s="471"/>
      <c r="AJ295" s="471"/>
      <c r="AK295" s="471"/>
      <c r="AL295" s="471"/>
      <c r="AM295" s="489"/>
      <c r="AN295" s="471"/>
      <c r="AO295" s="471"/>
      <c r="AP295" s="471"/>
      <c r="AQ295" s="471"/>
      <c r="AR295" s="471"/>
      <c r="AS295" s="1306"/>
      <c r="AT295" s="471"/>
      <c r="AU295" s="471"/>
      <c r="AV295" s="471"/>
      <c r="AW295" s="471"/>
      <c r="AX295" s="471"/>
      <c r="AY295" s="471"/>
      <c r="AZ295" s="471"/>
      <c r="BB295" s="488"/>
      <c r="BC295" s="488">
        <f>+BC291/BC293</f>
        <v>1.1763140916858192E-2</v>
      </c>
      <c r="BD295" s="444"/>
      <c r="BE295" s="173"/>
      <c r="BF295" s="336"/>
    </row>
    <row r="296" spans="1:58" outlineLevel="1" x14ac:dyDescent="0.35">
      <c r="A296" s="336">
        <f t="shared" si="90"/>
        <v>38</v>
      </c>
      <c r="C296" s="465" t="s">
        <v>921</v>
      </c>
      <c r="D296" s="470"/>
      <c r="E296" s="1306"/>
      <c r="F296" s="471"/>
      <c r="G296" s="471"/>
      <c r="H296" s="471"/>
      <c r="I296" s="471"/>
      <c r="J296" s="471"/>
      <c r="K296" s="471"/>
      <c r="L296" s="471"/>
      <c r="M296" s="471"/>
      <c r="N296" s="471"/>
      <c r="O296" s="471"/>
      <c r="P296" s="471"/>
      <c r="Q296" s="471"/>
      <c r="R296" s="471"/>
      <c r="S296" s="471"/>
      <c r="T296" s="471"/>
      <c r="U296" s="471"/>
      <c r="V296" s="471"/>
      <c r="W296" s="471"/>
      <c r="X296" s="471"/>
      <c r="Y296" s="471"/>
      <c r="Z296" s="471"/>
      <c r="AA296" s="471"/>
      <c r="AB296" s="471"/>
      <c r="AC296" s="471"/>
      <c r="AD296" s="471"/>
      <c r="AE296" s="471"/>
      <c r="AF296" s="471"/>
      <c r="AG296" s="471"/>
      <c r="AH296" s="471"/>
      <c r="AI296" s="471"/>
      <c r="AJ296" s="471"/>
      <c r="AK296" s="471"/>
      <c r="AL296" s="471"/>
      <c r="AM296" s="472"/>
      <c r="AN296" s="471"/>
      <c r="AO296" s="471"/>
      <c r="AP296" s="471"/>
      <c r="AQ296" s="471"/>
      <c r="AR296" s="471"/>
      <c r="AS296" s="1306"/>
      <c r="AT296" s="471"/>
      <c r="AU296" s="471"/>
      <c r="AV296" s="471"/>
      <c r="AW296" s="471"/>
      <c r="AX296" s="471"/>
      <c r="AY296" s="471"/>
      <c r="AZ296" s="471"/>
      <c r="BB296" s="470"/>
      <c r="BC296" s="470"/>
      <c r="BD296" s="444"/>
      <c r="BE296" s="173"/>
      <c r="BF296" s="336"/>
    </row>
    <row r="297" spans="1:58" outlineLevel="1" x14ac:dyDescent="0.35">
      <c r="A297" s="336">
        <f t="shared" si="90"/>
        <v>39</v>
      </c>
      <c r="B297" s="329" t="s">
        <v>126</v>
      </c>
      <c r="C297" s="465" t="s">
        <v>921</v>
      </c>
      <c r="D297" s="470"/>
      <c r="E297" s="1306"/>
      <c r="F297" s="471"/>
      <c r="G297" s="471"/>
      <c r="H297" s="471"/>
      <c r="I297" s="471"/>
      <c r="J297" s="471"/>
      <c r="K297" s="471"/>
      <c r="L297" s="471"/>
      <c r="M297" s="471"/>
      <c r="N297" s="471"/>
      <c r="O297" s="471"/>
      <c r="P297" s="471"/>
      <c r="Q297" s="471"/>
      <c r="R297" s="471"/>
      <c r="S297" s="471"/>
      <c r="T297" s="471"/>
      <c r="U297" s="471"/>
      <c r="V297" s="471"/>
      <c r="W297" s="471"/>
      <c r="X297" s="471"/>
      <c r="Y297" s="471"/>
      <c r="Z297" s="471"/>
      <c r="AA297" s="471"/>
      <c r="AB297" s="471"/>
      <c r="AC297" s="471"/>
      <c r="AD297" s="471"/>
      <c r="AE297" s="471"/>
      <c r="AF297" s="471"/>
      <c r="AG297" s="471"/>
      <c r="AH297" s="471"/>
      <c r="AI297" s="471"/>
      <c r="AJ297" s="471"/>
      <c r="AK297" s="471"/>
      <c r="AL297" s="471"/>
      <c r="AM297" s="472"/>
      <c r="AN297" s="471"/>
      <c r="AO297" s="471"/>
      <c r="AP297" s="471"/>
      <c r="AQ297" s="471"/>
      <c r="AR297" s="471"/>
      <c r="AS297" s="1306"/>
      <c r="AT297" s="471"/>
      <c r="AU297" s="471"/>
      <c r="AV297" s="471"/>
      <c r="AW297" s="471"/>
      <c r="AX297" s="471"/>
      <c r="AY297" s="471"/>
      <c r="AZ297" s="471"/>
      <c r="BB297" s="470"/>
      <c r="BC297" s="470"/>
      <c r="BD297" s="444"/>
      <c r="BE297" s="173"/>
      <c r="BF297" s="336"/>
    </row>
    <row r="298" spans="1:58" outlineLevel="1" x14ac:dyDescent="0.35">
      <c r="A298" s="336">
        <f t="shared" si="90"/>
        <v>40</v>
      </c>
      <c r="B298" s="490" t="s">
        <v>20</v>
      </c>
      <c r="C298" s="465" t="s">
        <v>921</v>
      </c>
      <c r="D298" s="476">
        <f t="shared" ref="D298:D303" si="99">+BC237</f>
        <v>5800008724.6087608</v>
      </c>
      <c r="E298" s="1309"/>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f>'Common Adj'!QV17</f>
        <v>-132706230.10262708</v>
      </c>
      <c r="AE298" s="420"/>
      <c r="AF298" s="420"/>
      <c r="AG298" s="173">
        <f>'Common Adj'!$SX$28</f>
        <v>148518084.85406506</v>
      </c>
      <c r="AH298" s="173">
        <f>'Common Adj'!$SX$46</f>
        <v>53719330.550000012</v>
      </c>
      <c r="AI298" s="173">
        <f>'Common Adj'!$SX$64</f>
        <v>2437674.9908750001</v>
      </c>
      <c r="AJ298" s="173">
        <f>'Common Adj'!$SX$82</f>
        <v>67432604.695660084</v>
      </c>
      <c r="AK298" s="420"/>
      <c r="AL298" s="420"/>
      <c r="AM298" s="173"/>
      <c r="AN298" s="420"/>
      <c r="AO298" s="420"/>
      <c r="AP298" s="420"/>
      <c r="AQ298" s="420"/>
      <c r="AR298" s="420">
        <f>'Gas Adj'!CY18</f>
        <v>0</v>
      </c>
      <c r="AS298" s="1309">
        <f>'Gas Adj'!DH18</f>
        <v>0</v>
      </c>
      <c r="AT298" s="420"/>
      <c r="AU298" s="420"/>
      <c r="AV298" s="420"/>
      <c r="AW298" s="420"/>
      <c r="AX298" s="420"/>
      <c r="AY298" s="420"/>
      <c r="AZ298" s="420"/>
      <c r="BB298" s="476">
        <f t="shared" ref="BB298:BB303" si="100">SUM(E298:AZ298)</f>
        <v>139401464.98797309</v>
      </c>
      <c r="BC298" s="476">
        <f t="shared" ref="BC298:BC303" si="101">+BB298+D298</f>
        <v>5939410189.596734</v>
      </c>
      <c r="BD298" s="444"/>
      <c r="BE298" s="173"/>
      <c r="BF298" s="336"/>
    </row>
    <row r="299" spans="1:58" outlineLevel="1" x14ac:dyDescent="0.35">
      <c r="A299" s="336">
        <f t="shared" si="90"/>
        <v>41</v>
      </c>
      <c r="B299" s="490" t="s">
        <v>21</v>
      </c>
      <c r="C299" s="465" t="s">
        <v>921</v>
      </c>
      <c r="D299" s="470">
        <f t="shared" si="99"/>
        <v>-2520722889.248621</v>
      </c>
      <c r="E299" s="1306"/>
      <c r="F299" s="471"/>
      <c r="G299" s="471"/>
      <c r="H299" s="471"/>
      <c r="I299" s="471"/>
      <c r="J299" s="471"/>
      <c r="K299" s="471"/>
      <c r="L299" s="471"/>
      <c r="M299" s="471"/>
      <c r="N299" s="471"/>
      <c r="O299" s="471"/>
      <c r="P299" s="471"/>
      <c r="Q299" s="471"/>
      <c r="R299" s="471"/>
      <c r="S299" s="471"/>
      <c r="T299" s="471"/>
      <c r="U299" s="471"/>
      <c r="V299" s="471"/>
      <c r="W299" s="471"/>
      <c r="X299" s="471"/>
      <c r="Y299" s="471"/>
      <c r="Z299" s="471"/>
      <c r="AA299" s="471"/>
      <c r="AB299" s="471"/>
      <c r="AC299" s="471"/>
      <c r="AD299" s="471">
        <f>'Common Adj'!QV18</f>
        <v>132706230.10262708</v>
      </c>
      <c r="AE299" s="471">
        <f>'Common Adj'!RN34</f>
        <v>-255077277.02818441</v>
      </c>
      <c r="AF299" s="471">
        <f>'Common Adj'!SF33</f>
        <v>1154341.1600000001</v>
      </c>
      <c r="AG299" s="472">
        <f>'Common Adj'!$SX$29</f>
        <v>-23582994.780954998</v>
      </c>
      <c r="AH299" s="472">
        <f>'Common Adj'!$SX$47</f>
        <v>-9046873.4099999983</v>
      </c>
      <c r="AI299" s="472">
        <f>'Common Adj'!$SX$65</f>
        <v>-492049.07124999998</v>
      </c>
      <c r="AJ299" s="472">
        <f>'Common Adj'!$SX$83</f>
        <v>-19967157.574074995</v>
      </c>
      <c r="AK299" s="471"/>
      <c r="AL299" s="471"/>
      <c r="AM299" s="481"/>
      <c r="AN299" s="471">
        <f>'Common Adj'!VV21</f>
        <v>0</v>
      </c>
      <c r="AO299" s="471"/>
      <c r="AP299" s="471"/>
      <c r="AQ299" s="471"/>
      <c r="AR299" s="471">
        <f>'Gas Adj'!CY19+'Gas Adj'!CY20</f>
        <v>1097259.3660379963</v>
      </c>
      <c r="AS299" s="1306">
        <f>'Gas Adj'!DH19+'Gas Adj'!DH20</f>
        <v>0</v>
      </c>
      <c r="AT299" s="415"/>
      <c r="AU299" s="471"/>
      <c r="AV299" s="471"/>
      <c r="AW299" s="471"/>
      <c r="AX299" s="471"/>
      <c r="AY299" s="471"/>
      <c r="AZ299" s="471"/>
      <c r="BB299" s="470">
        <f t="shared" si="100"/>
        <v>-173208521.23579931</v>
      </c>
      <c r="BC299" s="470">
        <f t="shared" si="101"/>
        <v>-2693931410.4844203</v>
      </c>
      <c r="BD299" s="444"/>
      <c r="BE299" s="173"/>
      <c r="BF299" s="336"/>
    </row>
    <row r="300" spans="1:58" outlineLevel="1" x14ac:dyDescent="0.35">
      <c r="A300" s="336">
        <f t="shared" si="90"/>
        <v>42</v>
      </c>
      <c r="B300" s="329" t="s">
        <v>127</v>
      </c>
      <c r="C300" s="465" t="s">
        <v>921</v>
      </c>
      <c r="D300" s="470">
        <f t="shared" si="99"/>
        <v>10700572.893702809</v>
      </c>
      <c r="E300" s="1306"/>
      <c r="F300" s="471"/>
      <c r="G300" s="471"/>
      <c r="H300" s="471"/>
      <c r="I300" s="471"/>
      <c r="J300" s="471"/>
      <c r="K300" s="471"/>
      <c r="L300" s="471"/>
      <c r="M300" s="471"/>
      <c r="N300" s="471"/>
      <c r="O300" s="471"/>
      <c r="P300" s="471"/>
      <c r="Q300" s="471"/>
      <c r="R300" s="471"/>
      <c r="S300" s="471"/>
      <c r="T300" s="471"/>
      <c r="U300" s="471"/>
      <c r="V300" s="471"/>
      <c r="W300" s="471"/>
      <c r="X300" s="471"/>
      <c r="Y300" s="471"/>
      <c r="Z300" s="471"/>
      <c r="AA300" s="471"/>
      <c r="AB300" s="471"/>
      <c r="AC300" s="471"/>
      <c r="AD300" s="471"/>
      <c r="AE300" s="471"/>
      <c r="AF300" s="471">
        <f>'Common Adj'!SF34</f>
        <v>0</v>
      </c>
      <c r="AG300" s="472"/>
      <c r="AH300" s="472"/>
      <c r="AI300" s="472"/>
      <c r="AJ300" s="472"/>
      <c r="AK300" s="471"/>
      <c r="AL300" s="471">
        <f>'Common Adj'!VC17</f>
        <v>0</v>
      </c>
      <c r="AM300" s="481"/>
      <c r="AO300" s="471"/>
      <c r="AP300" s="471"/>
      <c r="AQ300" s="471">
        <f>'Gas Adj'!CG25</f>
        <v>-6604602.5850778967</v>
      </c>
      <c r="AR300" s="471"/>
      <c r="AS300" s="1306"/>
      <c r="AT300" s="415"/>
      <c r="AU300" s="471"/>
      <c r="AV300" s="471"/>
      <c r="AW300" s="471"/>
      <c r="AX300" s="471"/>
      <c r="AY300" s="471"/>
      <c r="AZ300" s="471"/>
      <c r="BB300" s="470">
        <f t="shared" si="100"/>
        <v>-6604602.5850778967</v>
      </c>
      <c r="BC300" s="470">
        <f t="shared" si="101"/>
        <v>4095970.3086249121</v>
      </c>
      <c r="BD300" s="444"/>
      <c r="BE300" s="173"/>
      <c r="BF300" s="336"/>
    </row>
    <row r="301" spans="1:58" outlineLevel="1" x14ac:dyDescent="0.35">
      <c r="A301" s="336">
        <f t="shared" si="90"/>
        <v>43</v>
      </c>
      <c r="B301" s="329" t="s">
        <v>128</v>
      </c>
      <c r="C301" s="465" t="s">
        <v>921</v>
      </c>
      <c r="D301" s="470">
        <f t="shared" si="99"/>
        <v>-541309885.01676476</v>
      </c>
      <c r="E301" s="1306"/>
      <c r="F301" s="471"/>
      <c r="G301" s="471"/>
      <c r="H301" s="471"/>
      <c r="I301" s="471"/>
      <c r="J301" s="471"/>
      <c r="K301" s="471"/>
      <c r="L301" s="471"/>
      <c r="M301" s="471"/>
      <c r="N301" s="471"/>
      <c r="O301" s="471"/>
      <c r="P301" s="471"/>
      <c r="Q301" s="471"/>
      <c r="R301" s="471"/>
      <c r="S301" s="471"/>
      <c r="T301" s="471"/>
      <c r="U301" s="471"/>
      <c r="V301" s="471"/>
      <c r="W301" s="471"/>
      <c r="X301" s="471"/>
      <c r="Y301" s="471"/>
      <c r="Z301" s="471"/>
      <c r="AA301" s="471"/>
      <c r="AB301" s="471"/>
      <c r="AC301" s="471"/>
      <c r="AD301" s="471"/>
      <c r="AE301" s="471">
        <f>'Common Adj'!RN35</f>
        <v>42934633.668347955</v>
      </c>
      <c r="AF301" s="471"/>
      <c r="AG301" s="472">
        <f>'Common Adj'!$SX$30</f>
        <v>-2527668.855455</v>
      </c>
      <c r="AH301" s="472">
        <f>'Common Adj'!$SX$48</f>
        <v>-1060799.5899999999</v>
      </c>
      <c r="AI301" s="472">
        <f>'Common Adj'!$SX$66</f>
        <v>-170827.32979499997</v>
      </c>
      <c r="AJ301" s="472">
        <f>'Common Adj'!$SX$84</f>
        <v>-3360920.1487800009</v>
      </c>
      <c r="AK301" s="471"/>
      <c r="AL301" s="471">
        <f>'Common Adj'!VC18</f>
        <v>0</v>
      </c>
      <c r="AM301" s="347"/>
      <c r="AN301" s="471">
        <f>'Common Adj'!VV22</f>
        <v>0</v>
      </c>
      <c r="AO301" s="471"/>
      <c r="AP301" s="471"/>
      <c r="AQ301" s="471">
        <f>'Gas Adj'!CG26</f>
        <v>1166614.2709085923</v>
      </c>
      <c r="AR301" s="471">
        <f>'Gas Adj'!CY21</f>
        <v>54930.069817058044</v>
      </c>
      <c r="AS301" s="1306">
        <f>'Gas Adj'!DH21</f>
        <v>0</v>
      </c>
      <c r="AT301" s="356"/>
      <c r="AU301" s="471"/>
      <c r="AV301" s="471"/>
      <c r="AW301" s="471"/>
      <c r="AX301" s="471"/>
      <c r="AY301" s="471"/>
      <c r="AZ301" s="471"/>
      <c r="BB301" s="470">
        <f t="shared" si="100"/>
        <v>37035962.085043602</v>
      </c>
      <c r="BC301" s="470">
        <f t="shared" si="101"/>
        <v>-504273922.93172115</v>
      </c>
      <c r="BD301" s="444"/>
      <c r="BE301" s="173"/>
      <c r="BF301" s="336"/>
    </row>
    <row r="302" spans="1:58" outlineLevel="1" x14ac:dyDescent="0.35">
      <c r="A302" s="336">
        <f t="shared" si="90"/>
        <v>44</v>
      </c>
      <c r="B302" s="329" t="s">
        <v>129</v>
      </c>
      <c r="C302" s="465" t="s">
        <v>921</v>
      </c>
      <c r="D302" s="491">
        <f t="shared" si="99"/>
        <v>119028167.29199991</v>
      </c>
      <c r="E302" s="1306"/>
      <c r="F302" s="471"/>
      <c r="G302" s="471"/>
      <c r="H302" s="471"/>
      <c r="I302" s="471"/>
      <c r="J302" s="471"/>
      <c r="K302" s="471"/>
      <c r="L302" s="471"/>
      <c r="M302" s="471"/>
      <c r="N302" s="471"/>
      <c r="O302" s="471"/>
      <c r="P302" s="471"/>
      <c r="Q302" s="471"/>
      <c r="R302" s="471"/>
      <c r="S302" s="471"/>
      <c r="T302" s="471"/>
      <c r="U302" s="471"/>
      <c r="V302" s="471"/>
      <c r="W302" s="471"/>
      <c r="X302" s="471"/>
      <c r="Y302" s="471"/>
      <c r="Z302" s="471"/>
      <c r="AA302" s="471"/>
      <c r="AB302" s="471"/>
      <c r="AC302" s="471"/>
      <c r="AD302" s="471"/>
      <c r="AE302" s="471"/>
      <c r="AF302" s="471"/>
      <c r="AG302" s="471"/>
      <c r="AH302" s="471"/>
      <c r="AI302" s="471"/>
      <c r="AJ302" s="471"/>
      <c r="AK302" s="471"/>
      <c r="AL302" s="471"/>
      <c r="AM302" s="481"/>
      <c r="AN302" s="471"/>
      <c r="AO302" s="471"/>
      <c r="AP302" s="471"/>
      <c r="AQ302" s="471"/>
      <c r="AR302" s="471"/>
      <c r="AS302" s="1306"/>
      <c r="AT302" s="471"/>
      <c r="AU302" s="471"/>
      <c r="AV302" s="471"/>
      <c r="AW302" s="471"/>
      <c r="AX302" s="471"/>
      <c r="AY302" s="471"/>
      <c r="AZ302" s="471"/>
      <c r="BB302" s="492">
        <f t="shared" si="100"/>
        <v>0</v>
      </c>
      <c r="BC302" s="470">
        <f t="shared" si="101"/>
        <v>119028167.29199991</v>
      </c>
      <c r="BD302" s="444"/>
      <c r="BE302" s="173"/>
      <c r="BF302" s="336"/>
    </row>
    <row r="303" spans="1:58" outlineLevel="1" x14ac:dyDescent="0.35">
      <c r="A303" s="336">
        <f t="shared" si="90"/>
        <v>45</v>
      </c>
      <c r="B303" s="329" t="s">
        <v>130</v>
      </c>
      <c r="C303" s="465" t="s">
        <v>921</v>
      </c>
      <c r="D303" s="470">
        <f t="shared" si="99"/>
        <v>-1200697.579405</v>
      </c>
      <c r="E303" s="1306"/>
      <c r="F303" s="471"/>
      <c r="G303" s="471"/>
      <c r="H303" s="471"/>
      <c r="I303" s="471"/>
      <c r="J303" s="471"/>
      <c r="K303" s="471"/>
      <c r="L303" s="471"/>
      <c r="M303" s="471"/>
      <c r="N303" s="471"/>
      <c r="O303" s="471"/>
      <c r="P303" s="471"/>
      <c r="Q303" s="471"/>
      <c r="R303" s="471"/>
      <c r="S303" s="471"/>
      <c r="T303" s="471"/>
      <c r="U303" s="471"/>
      <c r="V303" s="471"/>
      <c r="W303" s="471"/>
      <c r="X303" s="471"/>
      <c r="Y303" s="471"/>
      <c r="Z303" s="471"/>
      <c r="AA303" s="471"/>
      <c r="AB303" s="471"/>
      <c r="AC303" s="471"/>
      <c r="AD303" s="471"/>
      <c r="AE303" s="471"/>
      <c r="AF303" s="471"/>
      <c r="AG303" s="471"/>
      <c r="AH303" s="471"/>
      <c r="AI303" s="471"/>
      <c r="AJ303" s="471"/>
      <c r="AK303" s="471"/>
      <c r="AL303" s="471"/>
      <c r="AM303" s="481"/>
      <c r="AN303" s="471"/>
      <c r="AO303" s="471"/>
      <c r="AP303" s="471"/>
      <c r="AQ303" s="471"/>
      <c r="AR303" s="471"/>
      <c r="AS303" s="1306"/>
      <c r="AT303" s="471"/>
      <c r="AU303" s="471"/>
      <c r="AV303" s="471"/>
      <c r="AW303" s="471"/>
      <c r="AX303" s="471"/>
      <c r="AY303" s="471"/>
      <c r="AZ303" s="471"/>
      <c r="BB303" s="470">
        <f t="shared" si="100"/>
        <v>0</v>
      </c>
      <c r="BC303" s="470">
        <f t="shared" si="101"/>
        <v>-1200697.579405</v>
      </c>
      <c r="BD303" s="444"/>
      <c r="BE303" s="173"/>
      <c r="BF303" s="336"/>
    </row>
    <row r="304" spans="1:58" ht="15" outlineLevel="1" thickBot="1" x14ac:dyDescent="0.4">
      <c r="A304" s="336">
        <f t="shared" si="90"/>
        <v>46</v>
      </c>
      <c r="B304" s="329" t="s">
        <v>22</v>
      </c>
      <c r="C304" s="465" t="s">
        <v>921</v>
      </c>
      <c r="D304" s="493">
        <f>SUM(D298:D303)</f>
        <v>2866503992.9496732</v>
      </c>
      <c r="E304" s="1314">
        <f t="shared" ref="E304:AS304" si="102">SUM(E298:E303)</f>
        <v>0</v>
      </c>
      <c r="F304" s="519">
        <f t="shared" si="102"/>
        <v>0</v>
      </c>
      <c r="G304" s="519">
        <f t="shared" si="102"/>
        <v>0</v>
      </c>
      <c r="H304" s="519">
        <f t="shared" si="102"/>
        <v>0</v>
      </c>
      <c r="I304" s="519">
        <f t="shared" si="102"/>
        <v>0</v>
      </c>
      <c r="J304" s="519">
        <f t="shared" si="102"/>
        <v>0</v>
      </c>
      <c r="K304" s="519">
        <f t="shared" si="102"/>
        <v>0</v>
      </c>
      <c r="L304" s="519">
        <f t="shared" si="102"/>
        <v>0</v>
      </c>
      <c r="M304" s="519">
        <f t="shared" si="102"/>
        <v>0</v>
      </c>
      <c r="N304" s="519">
        <f t="shared" si="102"/>
        <v>0</v>
      </c>
      <c r="O304" s="519">
        <f t="shared" si="102"/>
        <v>0</v>
      </c>
      <c r="P304" s="519">
        <f t="shared" si="102"/>
        <v>0</v>
      </c>
      <c r="Q304" s="519">
        <f t="shared" si="102"/>
        <v>0</v>
      </c>
      <c r="R304" s="519">
        <f t="shared" si="102"/>
        <v>0</v>
      </c>
      <c r="S304" s="519">
        <f t="shared" si="102"/>
        <v>0</v>
      </c>
      <c r="T304" s="519">
        <f t="shared" si="102"/>
        <v>0</v>
      </c>
      <c r="U304" s="519">
        <f t="shared" si="102"/>
        <v>0</v>
      </c>
      <c r="V304" s="519">
        <f t="shared" si="102"/>
        <v>0</v>
      </c>
      <c r="W304" s="519">
        <f t="shared" si="102"/>
        <v>0</v>
      </c>
      <c r="X304" s="519">
        <f t="shared" si="102"/>
        <v>0</v>
      </c>
      <c r="Y304" s="519">
        <f t="shared" si="102"/>
        <v>0</v>
      </c>
      <c r="Z304" s="519">
        <f t="shared" si="102"/>
        <v>0</v>
      </c>
      <c r="AA304" s="519">
        <f t="shared" si="102"/>
        <v>0</v>
      </c>
      <c r="AB304" s="519">
        <f t="shared" si="102"/>
        <v>0</v>
      </c>
      <c r="AC304" s="519">
        <f t="shared" si="102"/>
        <v>0</v>
      </c>
      <c r="AD304" s="519">
        <f t="shared" si="102"/>
        <v>0</v>
      </c>
      <c r="AE304" s="519">
        <f t="shared" si="102"/>
        <v>-212142643.35983646</v>
      </c>
      <c r="AF304" s="519">
        <f t="shared" si="102"/>
        <v>1154341.1600000001</v>
      </c>
      <c r="AG304" s="519">
        <f t="shared" si="102"/>
        <v>122407421.21765506</v>
      </c>
      <c r="AH304" s="519">
        <f t="shared" si="102"/>
        <v>43611657.550000012</v>
      </c>
      <c r="AI304" s="519">
        <f t="shared" si="102"/>
        <v>1774798.5898300002</v>
      </c>
      <c r="AJ304" s="519">
        <f t="shared" si="102"/>
        <v>44104526.972805083</v>
      </c>
      <c r="AK304" s="519">
        <f t="shared" si="102"/>
        <v>0</v>
      </c>
      <c r="AL304" s="519">
        <f t="shared" si="102"/>
        <v>0</v>
      </c>
      <c r="AM304" s="494">
        <f t="shared" si="102"/>
        <v>0</v>
      </c>
      <c r="AN304" s="494">
        <f t="shared" si="102"/>
        <v>0</v>
      </c>
      <c r="AO304" s="494">
        <f t="shared" si="102"/>
        <v>0</v>
      </c>
      <c r="AP304" s="519">
        <f t="shared" si="102"/>
        <v>0</v>
      </c>
      <c r="AQ304" s="519">
        <f t="shared" si="102"/>
        <v>-5437988.3141693044</v>
      </c>
      <c r="AR304" s="519">
        <f t="shared" si="102"/>
        <v>1152189.4358550543</v>
      </c>
      <c r="AS304" s="1314">
        <f t="shared" si="102"/>
        <v>0</v>
      </c>
      <c r="AT304" s="519"/>
      <c r="AU304" s="519"/>
      <c r="AV304" s="519"/>
      <c r="AW304" s="519"/>
      <c r="AX304" s="519"/>
      <c r="AY304" s="519"/>
      <c r="AZ304" s="519"/>
      <c r="BB304" s="493">
        <f>SUM(BB298:BB303)</f>
        <v>-3375696.7478605136</v>
      </c>
      <c r="BC304" s="493">
        <f>SUM(BC298:BC303)</f>
        <v>2863128296.2018123</v>
      </c>
      <c r="BD304" s="444"/>
      <c r="BE304" s="173"/>
      <c r="BF304" s="336"/>
    </row>
    <row r="305" spans="1:58" ht="15" outlineLevel="1" thickTop="1" x14ac:dyDescent="0.35">
      <c r="A305" s="336">
        <f t="shared" si="90"/>
        <v>47</v>
      </c>
      <c r="C305" s="465" t="s">
        <v>921</v>
      </c>
      <c r="D305" s="466"/>
      <c r="E305" s="1308"/>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c r="AF305" s="341"/>
      <c r="AG305" s="341"/>
      <c r="AH305" s="341"/>
      <c r="AI305" s="341"/>
      <c r="AJ305" s="341"/>
      <c r="AK305" s="341"/>
      <c r="AL305" s="341"/>
      <c r="AN305" s="341"/>
      <c r="AO305" s="341"/>
      <c r="AP305" s="341"/>
      <c r="AQ305" s="341"/>
      <c r="AR305" s="341"/>
      <c r="AS305" s="1308"/>
      <c r="AT305" s="341"/>
      <c r="AU305" s="341"/>
      <c r="AV305" s="341"/>
      <c r="AW305" s="341"/>
      <c r="AX305" s="341"/>
      <c r="AY305" s="341"/>
      <c r="AZ305" s="341"/>
      <c r="BB305" s="466"/>
      <c r="BC305" s="466"/>
      <c r="BD305" s="444"/>
      <c r="BE305" s="173"/>
      <c r="BF305" s="336"/>
    </row>
    <row r="306" spans="1:58" outlineLevel="1" x14ac:dyDescent="0.35">
      <c r="A306" s="336">
        <f t="shared" si="90"/>
        <v>48</v>
      </c>
      <c r="B306" s="329" t="s">
        <v>29</v>
      </c>
      <c r="C306" s="465" t="s">
        <v>921</v>
      </c>
      <c r="D306" s="496">
        <f>+'Def, COC, ConvF DPK-7 '!C13</f>
        <v>7.3575000000000002E-2</v>
      </c>
      <c r="E306" s="1315">
        <f>+'Def, COC, ConvF DPK-7 '!D13</f>
        <v>7.3700000000000002E-2</v>
      </c>
      <c r="F306" s="520">
        <f>+'Def, COC, ConvF DPK-7 '!D13</f>
        <v>7.3700000000000002E-2</v>
      </c>
      <c r="G306" s="520">
        <f>+'Def, COC, ConvF DPK-7 '!D13</f>
        <v>7.3700000000000002E-2</v>
      </c>
      <c r="H306" s="520">
        <f>+'Def, COC, ConvF DPK-7 '!D13</f>
        <v>7.3700000000000002E-2</v>
      </c>
      <c r="I306" s="520">
        <f>+'Def, COC, ConvF DPK-7 '!D13</f>
        <v>7.3700000000000002E-2</v>
      </c>
      <c r="J306" s="520">
        <f>+'Def, COC, ConvF DPK-7 '!D13</f>
        <v>7.3700000000000002E-2</v>
      </c>
      <c r="K306" s="520">
        <f>+'Def, COC, ConvF DPK-7 '!D13</f>
        <v>7.3700000000000002E-2</v>
      </c>
      <c r="L306" s="520">
        <f>+'Def, COC, ConvF DPK-7 '!D13</f>
        <v>7.3700000000000002E-2</v>
      </c>
      <c r="M306" s="520">
        <f>+'Def, COC, ConvF DPK-7 '!D13</f>
        <v>7.3700000000000002E-2</v>
      </c>
      <c r="N306" s="520">
        <f>+'Def, COC, ConvF DPK-7 '!D13</f>
        <v>7.3700000000000002E-2</v>
      </c>
      <c r="O306" s="520">
        <f>+'Def, COC, ConvF DPK-7 '!D13</f>
        <v>7.3700000000000002E-2</v>
      </c>
      <c r="P306" s="520">
        <f>+'Def, COC, ConvF DPK-7 '!D13</f>
        <v>7.3700000000000002E-2</v>
      </c>
      <c r="Q306" s="520">
        <f>+'Def, COC, ConvF DPK-7 '!D13</f>
        <v>7.3700000000000002E-2</v>
      </c>
      <c r="R306" s="520">
        <f>+'Def, COC, ConvF DPK-7 '!D13</f>
        <v>7.3700000000000002E-2</v>
      </c>
      <c r="S306" s="520">
        <f>+'Def, COC, ConvF DPK-7 '!D13</f>
        <v>7.3700000000000002E-2</v>
      </c>
      <c r="T306" s="520">
        <f>+'Def, COC, ConvF DPK-7 '!D13</f>
        <v>7.3700000000000002E-2</v>
      </c>
      <c r="U306" s="520">
        <f>+'Def, COC, ConvF DPK-7 '!D13</f>
        <v>7.3700000000000002E-2</v>
      </c>
      <c r="V306" s="520">
        <f>+'Def, COC, ConvF DPK-7 '!D13</f>
        <v>7.3700000000000002E-2</v>
      </c>
      <c r="W306" s="520">
        <f>+'Def, COC, ConvF DPK-7 '!D13</f>
        <v>7.3700000000000002E-2</v>
      </c>
      <c r="X306" s="520">
        <f>+'Def, COC, ConvF DPK-7 '!D13</f>
        <v>7.3700000000000002E-2</v>
      </c>
      <c r="Y306" s="520">
        <f>+'Def, COC, ConvF DPK-7 '!D13</f>
        <v>7.3700000000000002E-2</v>
      </c>
      <c r="Z306" s="520">
        <f>+'Def, COC, ConvF DPK-7 '!D13</f>
        <v>7.3700000000000002E-2</v>
      </c>
      <c r="AA306" s="520">
        <f>+'Def, COC, ConvF DPK-7 '!D13</f>
        <v>7.3700000000000002E-2</v>
      </c>
      <c r="AB306" s="520">
        <f>+'Def, COC, ConvF DPK-7 '!D13</f>
        <v>7.3700000000000002E-2</v>
      </c>
      <c r="AC306" s="520">
        <f>+'Def, COC, ConvF DPK-7 '!D13</f>
        <v>7.3700000000000002E-2</v>
      </c>
      <c r="AD306" s="520">
        <f>+'Def, COC, ConvF DPK-7 '!D13</f>
        <v>7.3700000000000002E-2</v>
      </c>
      <c r="AE306" s="520">
        <f>+'Def, COC, ConvF DPK-7 '!D13</f>
        <v>7.3700000000000002E-2</v>
      </c>
      <c r="AF306" s="520">
        <f>+'Def, COC, ConvF DPK-7 '!D13</f>
        <v>7.3700000000000002E-2</v>
      </c>
      <c r="AG306" s="520">
        <f>+'Def, COC, ConvF DPK-7 '!$D$13</f>
        <v>7.3700000000000002E-2</v>
      </c>
      <c r="AH306" s="520">
        <f>+'Def, COC, ConvF DPK-7 '!$D$13</f>
        <v>7.3700000000000002E-2</v>
      </c>
      <c r="AI306" s="520">
        <f>+'Def, COC, ConvF DPK-7 '!$D$13</f>
        <v>7.3700000000000002E-2</v>
      </c>
      <c r="AJ306" s="520">
        <f>+'Def, COC, ConvF DPK-7 '!$D$13</f>
        <v>7.3700000000000002E-2</v>
      </c>
      <c r="AK306" s="520">
        <f>+'Def, COC, ConvF DPK-7 '!$D$13</f>
        <v>7.3700000000000002E-2</v>
      </c>
      <c r="AL306" s="520">
        <f>+'Def, COC, ConvF DPK-7 '!$D$13</f>
        <v>7.3700000000000002E-2</v>
      </c>
      <c r="AM306" s="520">
        <f>+'Def, COC, ConvF DPK-7 '!$D$13</f>
        <v>7.3700000000000002E-2</v>
      </c>
      <c r="AN306" s="520">
        <f>+'Def, COC, ConvF DPK-7 '!$D$13</f>
        <v>7.3700000000000002E-2</v>
      </c>
      <c r="AO306" s="520">
        <f>+'Def, COC, ConvF DPK-7 '!$D$13</f>
        <v>7.3700000000000002E-2</v>
      </c>
      <c r="AP306" s="520">
        <f>+'Def, COC, ConvF DPK-7 '!D13</f>
        <v>7.3700000000000002E-2</v>
      </c>
      <c r="AQ306" s="520">
        <f>+'Def, COC, ConvF DPK-7 '!D13</f>
        <v>7.3700000000000002E-2</v>
      </c>
      <c r="AR306" s="520">
        <f>+'Def, COC, ConvF DPK-7 '!D13</f>
        <v>7.3700000000000002E-2</v>
      </c>
      <c r="AS306" s="1315">
        <f>+AR306</f>
        <v>7.3700000000000002E-2</v>
      </c>
      <c r="AT306" s="520"/>
      <c r="AU306" s="520"/>
      <c r="AV306" s="520"/>
      <c r="AW306" s="520"/>
      <c r="AX306" s="520"/>
      <c r="AY306" s="520"/>
      <c r="AZ306" s="520"/>
      <c r="BB306" s="496">
        <f>+'Def, COC, ConvF DPK-7 '!C13</f>
        <v>7.3575000000000002E-2</v>
      </c>
      <c r="BC306" s="496">
        <f>+'Def, COC, ConvF DPK-7 '!C13</f>
        <v>7.3575000000000002E-2</v>
      </c>
      <c r="BD306" s="444"/>
      <c r="BE306" s="173"/>
      <c r="BF306" s="336"/>
    </row>
    <row r="307" spans="1:58" outlineLevel="1" x14ac:dyDescent="0.35">
      <c r="A307" s="336">
        <f t="shared" si="90"/>
        <v>49</v>
      </c>
      <c r="B307" s="329" t="s">
        <v>23</v>
      </c>
      <c r="C307" s="465" t="s">
        <v>921</v>
      </c>
      <c r="D307" s="466">
        <f>+'Def, COC, ConvF DPK-7 '!P20</f>
        <v>0.75421300000000002</v>
      </c>
      <c r="E307" s="1308">
        <f>+'Def, COC, ConvF DPK-7 '!P20</f>
        <v>0.75421300000000002</v>
      </c>
      <c r="F307" s="341">
        <f>+'Def, COC, ConvF DPK-7 '!P20</f>
        <v>0.75421300000000002</v>
      </c>
      <c r="G307" s="341">
        <f>+'Def, COC, ConvF DPK-7 '!P20</f>
        <v>0.75421300000000002</v>
      </c>
      <c r="H307" s="341">
        <f>+'Def, COC, ConvF DPK-7 '!P20</f>
        <v>0.75421300000000002</v>
      </c>
      <c r="I307" s="341">
        <f>+'Def, COC, ConvF DPK-7 '!P20</f>
        <v>0.75421300000000002</v>
      </c>
      <c r="J307" s="341">
        <f>+'Def, COC, ConvF DPK-7 '!P20</f>
        <v>0.75421300000000002</v>
      </c>
      <c r="K307" s="341">
        <f>+'Def, COC, ConvF DPK-7 '!P20</f>
        <v>0.75421300000000002</v>
      </c>
      <c r="L307" s="341">
        <f>+'Def, COC, ConvF DPK-7 '!P20</f>
        <v>0.75421300000000002</v>
      </c>
      <c r="M307" s="341">
        <f>+'Def, COC, ConvF DPK-7 '!P20</f>
        <v>0.75421300000000002</v>
      </c>
      <c r="N307" s="341">
        <f>+'Def, COC, ConvF DPK-7 '!P20</f>
        <v>0.75421300000000002</v>
      </c>
      <c r="O307" s="341">
        <f>+'Def, COC, ConvF DPK-7 '!P20</f>
        <v>0.75421300000000002</v>
      </c>
      <c r="P307" s="341">
        <f>+'Def, COC, ConvF DPK-7 '!P20</f>
        <v>0.75421300000000002</v>
      </c>
      <c r="Q307" s="341">
        <f>+'Def, COC, ConvF DPK-7 '!P20</f>
        <v>0.75421300000000002</v>
      </c>
      <c r="R307" s="341">
        <f>+'Def, COC, ConvF DPK-7 '!P20</f>
        <v>0.75421300000000002</v>
      </c>
      <c r="S307" s="341">
        <f>+'Def, COC, ConvF DPK-7 '!P20</f>
        <v>0.75421300000000002</v>
      </c>
      <c r="T307" s="341">
        <f>+'Def, COC, ConvF DPK-7 '!P20</f>
        <v>0.75421300000000002</v>
      </c>
      <c r="U307" s="341">
        <f>+'Def, COC, ConvF DPK-7 '!P20</f>
        <v>0.75421300000000002</v>
      </c>
      <c r="V307" s="341">
        <f>+'Def, COC, ConvF DPK-7 '!P20</f>
        <v>0.75421300000000002</v>
      </c>
      <c r="W307" s="341">
        <f>+'Def, COC, ConvF DPK-7 '!P20</f>
        <v>0.75421300000000002</v>
      </c>
      <c r="X307" s="341">
        <f>+'Def, COC, ConvF DPK-7 '!P20</f>
        <v>0.75421300000000002</v>
      </c>
      <c r="Y307" s="341">
        <f>+'Def, COC, ConvF DPK-7 '!P20</f>
        <v>0.75421300000000002</v>
      </c>
      <c r="Z307" s="341">
        <f>+'Def, COC, ConvF DPK-7 '!P20</f>
        <v>0.75421300000000002</v>
      </c>
      <c r="AA307" s="341">
        <f>+'Def, COC, ConvF DPK-7 '!P20</f>
        <v>0.75421300000000002</v>
      </c>
      <c r="AB307" s="341">
        <f>+'Def, COC, ConvF DPK-7 '!P20</f>
        <v>0.75421300000000002</v>
      </c>
      <c r="AC307" s="341">
        <f>+'Def, COC, ConvF DPK-7 '!P20</f>
        <v>0.75421300000000002</v>
      </c>
      <c r="AD307" s="341">
        <f>+'Def, COC, ConvF DPK-7 '!P20</f>
        <v>0.75421300000000002</v>
      </c>
      <c r="AE307" s="341">
        <f>+'Def, COC, ConvF DPK-7 '!P20</f>
        <v>0.75421300000000002</v>
      </c>
      <c r="AF307" s="341">
        <f>+'Def, COC, ConvF DPK-7 '!P20</f>
        <v>0.75421300000000002</v>
      </c>
      <c r="AG307" s="341">
        <f>+'Def, COC, ConvF DPK-7 '!$P$20</f>
        <v>0.75421300000000002</v>
      </c>
      <c r="AH307" s="341">
        <f>+'Def, COC, ConvF DPK-7 '!$P$20</f>
        <v>0.75421300000000002</v>
      </c>
      <c r="AI307" s="341">
        <f>+'Def, COC, ConvF DPK-7 '!$P$20</f>
        <v>0.75421300000000002</v>
      </c>
      <c r="AJ307" s="341">
        <f>+'Def, COC, ConvF DPK-7 '!$P$20</f>
        <v>0.75421300000000002</v>
      </c>
      <c r="AK307" s="341">
        <f>+'Def, COC, ConvF DPK-7 '!$P$20</f>
        <v>0.75421300000000002</v>
      </c>
      <c r="AL307" s="341">
        <f>+'Def, COC, ConvF DPK-7 '!$P$20</f>
        <v>0.75421300000000002</v>
      </c>
      <c r="AM307" s="341">
        <f>+'Def, COC, ConvF DPK-7 '!$P$20</f>
        <v>0.75421300000000002</v>
      </c>
      <c r="AN307" s="341">
        <f>+'Def, COC, ConvF DPK-7 '!$P$20</f>
        <v>0.75421300000000002</v>
      </c>
      <c r="AO307" s="341">
        <f>+'Def, COC, ConvF DPK-7 '!$P$20</f>
        <v>0.75421300000000002</v>
      </c>
      <c r="AP307" s="341">
        <f>+'Def, COC, ConvF DPK-7 '!P20</f>
        <v>0.75421300000000002</v>
      </c>
      <c r="AQ307" s="341">
        <f>+'Def, COC, ConvF DPK-7 '!P20</f>
        <v>0.75421300000000002</v>
      </c>
      <c r="AR307" s="341">
        <f>+'Def, COC, ConvF DPK-7 '!P20</f>
        <v>0.75421300000000002</v>
      </c>
      <c r="AS307" s="1308">
        <f>+'Def, COC, ConvF DPK-7 '!P18</f>
        <v>0.95469999999999999</v>
      </c>
      <c r="AT307" s="341"/>
      <c r="AU307" s="341"/>
      <c r="AV307" s="341"/>
      <c r="AW307" s="341"/>
      <c r="AX307" s="341"/>
      <c r="AY307" s="341"/>
      <c r="AZ307" s="341"/>
      <c r="BB307" s="466">
        <f>+'Def, COC, ConvF DPK-7 '!P20</f>
        <v>0.75421300000000002</v>
      </c>
      <c r="BC307" s="466">
        <f>+'Def, COC, ConvF DPK-7 '!P20</f>
        <v>0.75421300000000002</v>
      </c>
      <c r="BD307" s="444"/>
      <c r="BE307" s="173"/>
      <c r="BF307" s="336"/>
    </row>
    <row r="308" spans="1:58" outlineLevel="1" x14ac:dyDescent="0.35">
      <c r="A308" s="336">
        <f t="shared" si="90"/>
        <v>50</v>
      </c>
      <c r="B308" s="329" t="s">
        <v>186</v>
      </c>
      <c r="C308" s="465" t="s">
        <v>921</v>
      </c>
      <c r="D308" s="470">
        <f>+D291-(D304*D306)</f>
        <v>-166005794.53225347</v>
      </c>
      <c r="E308" s="1316">
        <f t="shared" ref="E308:AS308" si="103">+E291-(E304*E306)</f>
        <v>-367107.89825900004</v>
      </c>
      <c r="F308" s="356">
        <f t="shared" si="103"/>
        <v>0</v>
      </c>
      <c r="G308" s="356">
        <f t="shared" si="103"/>
        <v>0</v>
      </c>
      <c r="H308" s="356">
        <f t="shared" si="103"/>
        <v>184598.59659993602</v>
      </c>
      <c r="I308" s="356">
        <f t="shared" si="103"/>
        <v>100756.73972158178</v>
      </c>
      <c r="J308" s="356">
        <f t="shared" si="103"/>
        <v>0</v>
      </c>
      <c r="K308" s="356">
        <f t="shared" si="103"/>
        <v>0</v>
      </c>
      <c r="L308" s="356">
        <f t="shared" si="103"/>
        <v>0</v>
      </c>
      <c r="M308" s="356">
        <f t="shared" si="103"/>
        <v>0</v>
      </c>
      <c r="N308" s="356">
        <f t="shared" si="103"/>
        <v>0</v>
      </c>
      <c r="O308" s="356">
        <f t="shared" si="103"/>
        <v>-1522.7486420287016</v>
      </c>
      <c r="P308" s="356">
        <f t="shared" si="103"/>
        <v>0</v>
      </c>
      <c r="Q308" s="356">
        <f t="shared" si="103"/>
        <v>0</v>
      </c>
      <c r="R308" s="356">
        <f t="shared" si="103"/>
        <v>0</v>
      </c>
      <c r="S308" s="356">
        <f t="shared" si="103"/>
        <v>1483149.1865527751</v>
      </c>
      <c r="T308" s="356">
        <f t="shared" si="103"/>
        <v>0</v>
      </c>
      <c r="U308" s="356">
        <f t="shared" si="103"/>
        <v>0</v>
      </c>
      <c r="V308" s="356">
        <f t="shared" si="103"/>
        <v>0</v>
      </c>
      <c r="W308" s="356">
        <f t="shared" si="103"/>
        <v>0</v>
      </c>
      <c r="X308" s="356">
        <f t="shared" si="103"/>
        <v>0</v>
      </c>
      <c r="Y308" s="356">
        <f t="shared" si="103"/>
        <v>0</v>
      </c>
      <c r="Z308" s="356">
        <f t="shared" si="103"/>
        <v>-6093010.4359589107</v>
      </c>
      <c r="AA308" s="356">
        <f t="shared" si="103"/>
        <v>0</v>
      </c>
      <c r="AB308" s="356">
        <f t="shared" si="103"/>
        <v>0</v>
      </c>
      <c r="AC308" s="356">
        <f t="shared" si="103"/>
        <v>1413394.9515225352</v>
      </c>
      <c r="AD308" s="356">
        <f t="shared" si="103"/>
        <v>0</v>
      </c>
      <c r="AE308" s="356">
        <f t="shared" si="103"/>
        <v>22760180.740740977</v>
      </c>
      <c r="AF308" s="356">
        <f t="shared" si="103"/>
        <v>412029.23060800089</v>
      </c>
      <c r="AG308" s="356">
        <f t="shared" si="103"/>
        <v>-17378287.539236579</v>
      </c>
      <c r="AH308" s="356">
        <f t="shared" si="103"/>
        <v>-5026821.7663349994</v>
      </c>
      <c r="AI308" s="356">
        <f t="shared" si="103"/>
        <v>-323378.97898487106</v>
      </c>
      <c r="AJ308" s="356">
        <f t="shared" si="103"/>
        <v>-9843552.3280698843</v>
      </c>
      <c r="AK308" s="356">
        <f t="shared" si="103"/>
        <v>0</v>
      </c>
      <c r="AL308" s="356">
        <f t="shared" si="103"/>
        <v>0</v>
      </c>
      <c r="AM308" s="356">
        <f t="shared" si="103"/>
        <v>0</v>
      </c>
      <c r="AN308" s="356">
        <f t="shared" si="103"/>
        <v>0</v>
      </c>
      <c r="AO308" s="356">
        <f t="shared" si="103"/>
        <v>-11163.933253252708</v>
      </c>
      <c r="AP308" s="356">
        <f t="shared" si="103"/>
        <v>0</v>
      </c>
      <c r="AQ308" s="356">
        <f t="shared" si="103"/>
        <v>4974111.6866364405</v>
      </c>
      <c r="AR308" s="356">
        <f t="shared" si="103"/>
        <v>599883.20892179629</v>
      </c>
      <c r="AS308" s="1316">
        <f t="shared" si="103"/>
        <v>-3852325</v>
      </c>
      <c r="AT308" s="356"/>
      <c r="AU308" s="356"/>
      <c r="AV308" s="356"/>
      <c r="AW308" s="356"/>
      <c r="AX308" s="356"/>
      <c r="AY308" s="356"/>
      <c r="AZ308" s="356"/>
      <c r="BB308" s="470">
        <f>SUM(E308:AZ308)</f>
        <v>-10969066.287435483</v>
      </c>
      <c r="BC308" s="470">
        <f>+BC291-(BC304*BC306)</f>
        <v>-176975282.78178233</v>
      </c>
      <c r="BD308" s="444"/>
      <c r="BE308" s="173"/>
      <c r="BF308" s="336"/>
    </row>
    <row r="309" spans="1:58" outlineLevel="1" x14ac:dyDescent="0.35">
      <c r="A309" s="336">
        <f t="shared" si="90"/>
        <v>51</v>
      </c>
      <c r="B309" s="1074" t="s">
        <v>187</v>
      </c>
      <c r="C309" s="465" t="s">
        <v>921</v>
      </c>
      <c r="D309" s="470">
        <f>-D308/D307</f>
        <v>220104658.1433275</v>
      </c>
      <c r="E309" s="1316">
        <f t="shared" ref="E309:AS309" si="104">-E308/E307</f>
        <v>486743.00000000006</v>
      </c>
      <c r="F309" s="356">
        <f t="shared" si="104"/>
        <v>0</v>
      </c>
      <c r="G309" s="356">
        <f t="shared" si="104"/>
        <v>0</v>
      </c>
      <c r="H309" s="356">
        <f t="shared" si="104"/>
        <v>-244756.58282200919</v>
      </c>
      <c r="I309" s="356">
        <f t="shared" si="104"/>
        <v>-133591.88945507671</v>
      </c>
      <c r="J309" s="356">
        <f t="shared" si="104"/>
        <v>0</v>
      </c>
      <c r="K309" s="356">
        <f t="shared" si="104"/>
        <v>0</v>
      </c>
      <c r="L309" s="356">
        <f t="shared" si="104"/>
        <v>0</v>
      </c>
      <c r="M309" s="356">
        <f t="shared" si="104"/>
        <v>0</v>
      </c>
      <c r="N309" s="356">
        <f t="shared" si="104"/>
        <v>0</v>
      </c>
      <c r="O309" s="356">
        <f t="shared" si="104"/>
        <v>2018.9901818567189</v>
      </c>
      <c r="P309" s="356">
        <f t="shared" si="104"/>
        <v>0</v>
      </c>
      <c r="Q309" s="356">
        <f t="shared" si="104"/>
        <v>0</v>
      </c>
      <c r="R309" s="356">
        <f t="shared" si="104"/>
        <v>0</v>
      </c>
      <c r="S309" s="356">
        <f t="shared" si="104"/>
        <v>-1966485.8422657459</v>
      </c>
      <c r="T309" s="356">
        <f t="shared" si="104"/>
        <v>0</v>
      </c>
      <c r="U309" s="356">
        <f t="shared" si="104"/>
        <v>0</v>
      </c>
      <c r="V309" s="356">
        <f t="shared" si="104"/>
        <v>0</v>
      </c>
      <c r="W309" s="356">
        <f t="shared" si="104"/>
        <v>0</v>
      </c>
      <c r="X309" s="356">
        <f t="shared" si="104"/>
        <v>0</v>
      </c>
      <c r="Y309" s="356">
        <f t="shared" si="104"/>
        <v>0</v>
      </c>
      <c r="Z309" s="356">
        <f t="shared" si="104"/>
        <v>8078633.5371558303</v>
      </c>
      <c r="AA309" s="356">
        <f t="shared" si="104"/>
        <v>0</v>
      </c>
      <c r="AB309" s="356">
        <f t="shared" si="104"/>
        <v>0</v>
      </c>
      <c r="AC309" s="356">
        <f t="shared" si="104"/>
        <v>-1873999.7209310038</v>
      </c>
      <c r="AD309" s="356">
        <f t="shared" si="104"/>
        <v>0</v>
      </c>
      <c r="AE309" s="356">
        <f t="shared" si="104"/>
        <v>-30177391.188882951</v>
      </c>
      <c r="AF309" s="356">
        <f t="shared" si="104"/>
        <v>-546303.5384009569</v>
      </c>
      <c r="AG309" s="356">
        <f t="shared" si="104"/>
        <v>23041617.605685104</v>
      </c>
      <c r="AH309" s="356">
        <f t="shared" si="104"/>
        <v>6664989.5537931584</v>
      </c>
      <c r="AI309" s="356">
        <f t="shared" si="104"/>
        <v>428763.46467757924</v>
      </c>
      <c r="AJ309" s="356">
        <f t="shared" si="104"/>
        <v>13051422.248184377</v>
      </c>
      <c r="AK309" s="356">
        <f t="shared" si="104"/>
        <v>0</v>
      </c>
      <c r="AL309" s="356">
        <f t="shared" si="104"/>
        <v>0</v>
      </c>
      <c r="AM309" s="356">
        <f t="shared" si="104"/>
        <v>0</v>
      </c>
      <c r="AN309" s="356">
        <f t="shared" si="104"/>
        <v>0</v>
      </c>
      <c r="AO309" s="356">
        <f t="shared" si="104"/>
        <v>14802.096030236429</v>
      </c>
      <c r="AP309" s="356">
        <f t="shared" si="104"/>
        <v>0</v>
      </c>
      <c r="AQ309" s="356">
        <f t="shared" si="104"/>
        <v>-6595102.029050733</v>
      </c>
      <c r="AR309" s="356">
        <f t="shared" si="104"/>
        <v>-795376.3842863969</v>
      </c>
      <c r="AS309" s="1316">
        <f t="shared" si="104"/>
        <v>4035115.7431653924</v>
      </c>
      <c r="AT309" s="356"/>
      <c r="AU309" s="356"/>
      <c r="AV309" s="356"/>
      <c r="AW309" s="356"/>
      <c r="AX309" s="356"/>
      <c r="AY309" s="356"/>
      <c r="AZ309" s="356"/>
      <c r="BB309" s="470">
        <f>-BB308/BB307</f>
        <v>14543724.76665807</v>
      </c>
      <c r="BC309" s="470">
        <f>-BC308/BC307</f>
        <v>234648942.38336164</v>
      </c>
      <c r="BD309" s="444"/>
      <c r="BE309" s="173"/>
      <c r="BF309" s="336"/>
    </row>
    <row r="310" spans="1:58" outlineLevel="1" x14ac:dyDescent="0.35">
      <c r="A310" s="336">
        <f t="shared" si="90"/>
        <v>52</v>
      </c>
      <c r="B310" s="329" t="s">
        <v>42</v>
      </c>
      <c r="C310" s="465" t="s">
        <v>921</v>
      </c>
      <c r="D310" s="470"/>
      <c r="E310" s="1316"/>
      <c r="F310" s="356"/>
      <c r="G310" s="356"/>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265"/>
      <c r="AN310" s="356"/>
      <c r="AO310" s="356"/>
      <c r="AP310" s="356"/>
      <c r="AQ310" s="356"/>
      <c r="AR310" s="356"/>
      <c r="AS310" s="1316"/>
      <c r="AT310" s="356"/>
      <c r="AU310" s="356"/>
      <c r="AV310" s="356"/>
      <c r="AW310" s="356"/>
      <c r="AX310" s="356"/>
      <c r="AY310" s="356"/>
      <c r="AZ310" s="356"/>
      <c r="BB310" s="470"/>
      <c r="BC310" s="470">
        <f>+BC249</f>
        <v>0</v>
      </c>
      <c r="BD310" s="444"/>
      <c r="BE310" s="173"/>
      <c r="BF310" s="336"/>
    </row>
    <row r="311" spans="1:58" outlineLevel="1" x14ac:dyDescent="0.35">
      <c r="A311" s="336">
        <f t="shared" si="90"/>
        <v>53</v>
      </c>
      <c r="B311" s="329" t="s">
        <v>43</v>
      </c>
      <c r="C311" s="465" t="s">
        <v>921</v>
      </c>
      <c r="D311" s="470"/>
      <c r="E311" s="1316"/>
      <c r="F311" s="356"/>
      <c r="G311" s="356"/>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265"/>
      <c r="AN311" s="356"/>
      <c r="AO311" s="356"/>
      <c r="AP311" s="356"/>
      <c r="AQ311" s="356"/>
      <c r="AR311" s="356"/>
      <c r="AS311" s="1316"/>
      <c r="AT311" s="356"/>
      <c r="AU311" s="356"/>
      <c r="AV311" s="356"/>
      <c r="AW311" s="356"/>
      <c r="AX311" s="356"/>
      <c r="AY311" s="356"/>
      <c r="AZ311" s="356"/>
      <c r="BB311" s="470"/>
      <c r="BC311" s="521">
        <f>SUM(BC309:BC310)</f>
        <v>234648942.38336164</v>
      </c>
      <c r="BD311" s="444"/>
      <c r="BE311" s="173"/>
      <c r="BF311" s="336"/>
    </row>
    <row r="312" spans="1:58" outlineLevel="1" x14ac:dyDescent="0.35">
      <c r="A312" s="336">
        <f t="shared" si="90"/>
        <v>54</v>
      </c>
      <c r="C312" s="465" t="s">
        <v>921</v>
      </c>
      <c r="D312" s="498"/>
      <c r="E312" s="1303"/>
      <c r="F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356"/>
      <c r="AH312" s="356"/>
      <c r="AI312" s="356"/>
      <c r="AJ312" s="356"/>
      <c r="AK312" s="265"/>
      <c r="AL312" s="265"/>
      <c r="AM312" s="265"/>
      <c r="AN312" s="265"/>
      <c r="AO312" s="265"/>
      <c r="AP312" s="265"/>
      <c r="AQ312" s="265"/>
      <c r="AR312" s="265"/>
      <c r="AS312" s="1303"/>
      <c r="AT312" s="265"/>
      <c r="AU312" s="265"/>
      <c r="AV312" s="265"/>
      <c r="AW312" s="265"/>
      <c r="AX312" s="265"/>
      <c r="AY312" s="265"/>
      <c r="AZ312" s="265"/>
      <c r="BB312" s="498"/>
      <c r="BC312" s="498"/>
      <c r="BD312" s="444"/>
      <c r="BF312" s="336"/>
    </row>
    <row r="313" spans="1:58" outlineLevel="1" x14ac:dyDescent="0.35">
      <c r="A313" s="336">
        <f t="shared" si="90"/>
        <v>55</v>
      </c>
      <c r="C313" s="465" t="s">
        <v>921</v>
      </c>
      <c r="E313" s="1279"/>
      <c r="AS313" s="1279"/>
      <c r="BB313" s="497">
        <f>+'Def, COC, ConvF DPK-7 '!K27</f>
        <v>7.3575000000000002E-2</v>
      </c>
      <c r="BC313" s="497">
        <f>+'Def, COC, ConvF DPK-7 '!K27</f>
        <v>7.3575000000000002E-2</v>
      </c>
      <c r="BD313" s="444"/>
      <c r="BF313" s="336"/>
    </row>
    <row r="314" spans="1:58" outlineLevel="1" x14ac:dyDescent="0.35">
      <c r="A314" s="336">
        <f t="shared" si="90"/>
        <v>56</v>
      </c>
      <c r="B314" s="499" t="s">
        <v>939</v>
      </c>
      <c r="C314" s="465" t="s">
        <v>921</v>
      </c>
      <c r="D314" s="500"/>
      <c r="E314" s="1304">
        <f>ROUND('Common Adj'!M$71-E291,0)+E293</f>
        <v>0</v>
      </c>
      <c r="F314" s="551">
        <f>ROUND('Common Adj'!AE$65-F291,0)+F293</f>
        <v>0</v>
      </c>
      <c r="G314" s="551">
        <f>ROUND('Common Adj'!AW$30-G291,0)+G293</f>
        <v>0</v>
      </c>
      <c r="H314" s="551">
        <f>ROUND('Common Adj'!BO$22-H291,0)+ROUND('Common Adj'!BO$24-H293,0)</f>
        <v>0</v>
      </c>
      <c r="I314" s="551">
        <f>ROUND('Common Adj'!CG$24-I291,0)+I293</f>
        <v>0</v>
      </c>
      <c r="J314" s="551">
        <f>ROUND('Common Adj'!CY$20-J291,0)+J293</f>
        <v>0</v>
      </c>
      <c r="K314" s="551">
        <f>ROUND('Common Adj'!DQ$22-K291,0)+K293</f>
        <v>0</v>
      </c>
      <c r="L314" s="551">
        <f>ROUND('Common Adj'!EI$21-L291,0)+L293</f>
        <v>0</v>
      </c>
      <c r="M314" s="551">
        <f>ROUND('Common Adj'!FA$27-M291,0)+M293</f>
        <v>0</v>
      </c>
      <c r="N314" s="551">
        <f>ROUND('Common Adj'!FS$23-N291,0)+N293</f>
        <v>0</v>
      </c>
      <c r="O314" s="551">
        <f>ROUND('Common Adj'!GK$32-O291,0)+O293</f>
        <v>0</v>
      </c>
      <c r="P314" s="551">
        <f>ROUND('Common Adj'!HC$36-P291,0)+P293</f>
        <v>0</v>
      </c>
      <c r="Q314" s="551">
        <f>ROUND('Common Adj'!HU$18-Q291,0)+Q293</f>
        <v>0</v>
      </c>
      <c r="R314" s="551">
        <f>ROUND('Common Adj'!IM$21-R291,0)+R293</f>
        <v>0</v>
      </c>
      <c r="S314" s="551">
        <f>ROUND('Common Adj'!JE$22-S291,0)+S293</f>
        <v>0</v>
      </c>
      <c r="T314" s="551">
        <f>ROUND('Common Adj'!JW$23-T291,0)+T293</f>
        <v>0</v>
      </c>
      <c r="U314" s="551">
        <f>ROUND('Common Adj'!KO$20-U291,0)+U293</f>
        <v>0</v>
      </c>
      <c r="V314" s="551">
        <f>ROUND('Common Adj'!LG$33-V291,0)+V293</f>
        <v>0</v>
      </c>
      <c r="W314" s="551">
        <f>ROUND('Common Adj'!LY$22-W293,0)+W291</f>
        <v>0</v>
      </c>
      <c r="X314" s="551">
        <f>ROUND('Common Adj'!MQ$31-X291,0)+ROUND('Common Adj'!MQ$36-X293,0)</f>
        <v>0</v>
      </c>
      <c r="Y314" s="551">
        <f>ROUND('Common Adj'!NI$22-Y291,0)+Y293</f>
        <v>0</v>
      </c>
      <c r="Z314" s="551">
        <f>ROUND('Common Adj'!OA$31-Z291,0)+Z293</f>
        <v>0</v>
      </c>
      <c r="AA314" s="551">
        <f>ROUND('Common Adj'!OS$35-AA291,0)+ROUND('Common Adj'!OS$24-AA293,0)</f>
        <v>0</v>
      </c>
      <c r="AB314" s="551">
        <f>ROUND('Common Adj'!PK$51-AB291,0)+ROUND('Common Adj'!PK$35-AB293,0)</f>
        <v>0</v>
      </c>
      <c r="AC314" s="551">
        <f>ROUND('Common Adj'!QC$21-AC291,0)+AC293</f>
        <v>0</v>
      </c>
      <c r="AD314" s="551">
        <f>ROUND('Common Adj'!QV19-AD293,0)</f>
        <v>0</v>
      </c>
      <c r="AE314" s="551">
        <f>ROUND('Common Adj'!RN31-AE291,0)+ROUND('Common Adj'!RN36-AE293,0)</f>
        <v>0</v>
      </c>
      <c r="AF314" s="551">
        <f>ROUND('Common Adj'!SF30-AF291,0)+ROUND('Common Adj'!SF35-AF293,0)</f>
        <v>0</v>
      </c>
      <c r="AG314" s="551">
        <f>ROUND('Common Adj'!$SX$26-AG291,0)+ROUND('Common Adj'!$SX$31-AG293,0)</f>
        <v>0</v>
      </c>
      <c r="AH314" s="551">
        <f>ROUND('Common Adj'!$SX$44-AH291,0)+ROUND('Common Adj'!$SX$49-AH293,0)</f>
        <v>0</v>
      </c>
      <c r="AI314" s="551">
        <f>ROUND('Common Adj'!$SX$62-AI291,0)+ROUND('Common Adj'!$SX$67-AI293,0)</f>
        <v>0</v>
      </c>
      <c r="AJ314" s="551">
        <f>ROUND('Common Adj'!$SX$80-AJ291,0)+ROUND('Common Adj'!$SX$85-AJ293,0)</f>
        <v>0</v>
      </c>
      <c r="AK314" s="551">
        <f>ROUND('Common Adj'!UJ$38-AK291,0)</f>
        <v>0</v>
      </c>
      <c r="AL314" s="551">
        <f>ROUND('Common Adj'!VC$27-AL291,0)+ROUND('Common Adj'!VC$19-AL293,0)</f>
        <v>0</v>
      </c>
      <c r="AM314" s="551">
        <f>ROUND('Common Adj'!TQ$25-AM291,0)</f>
        <v>0</v>
      </c>
      <c r="AN314" s="551">
        <f>ROUND('Common Adj'!VV$32-AN291,0)+ROUND(AN304-'Common Adj'!VV24,0)</f>
        <v>0</v>
      </c>
      <c r="AO314" s="551">
        <f>ROUND('Common Adj'!WK$21-AO291,0)</f>
        <v>0</v>
      </c>
      <c r="AP314" s="551">
        <f>ROUND('Gas Adj'!BO$49-AP293,0)+ROUND('Gas Adj'!BO$33-AP291,0)</f>
        <v>0</v>
      </c>
      <c r="AQ314" s="551">
        <f>ROUND('Gas Adj'!CG$47-AQ291,0)+ROUND('Gas Adj'!CG$27-AQ293,0)</f>
        <v>0</v>
      </c>
      <c r="AR314" s="551">
        <f>ROUND('Gas Adj'!CY22-AR291+'Gas Adj'!CY31-AR293,0)</f>
        <v>0</v>
      </c>
      <c r="AS314" s="1304"/>
      <c r="AT314" s="547"/>
      <c r="AU314" s="548"/>
      <c r="AV314" s="549"/>
      <c r="AW314" s="549"/>
      <c r="AX314" s="549"/>
      <c r="AY314" s="549"/>
      <c r="AZ314" s="549"/>
      <c r="BB314" s="550"/>
      <c r="BC314" s="550"/>
      <c r="BD314" s="444"/>
      <c r="BF314" s="336"/>
    </row>
    <row r="315" spans="1:58" outlineLevel="1" x14ac:dyDescent="0.35">
      <c r="A315" s="336">
        <f t="shared" si="90"/>
        <v>57</v>
      </c>
      <c r="B315" s="499" t="s">
        <v>953</v>
      </c>
      <c r="C315" s="465" t="s">
        <v>921</v>
      </c>
      <c r="D315" s="551">
        <f>'Summary DPK-7 '!K47-D291</f>
        <v>0</v>
      </c>
      <c r="E315" s="1279"/>
      <c r="AS315" s="329"/>
      <c r="BC315" s="551">
        <f>'Summary DPK-7 '!M47-BC291</f>
        <v>0</v>
      </c>
      <c r="BD315" s="444"/>
      <c r="BF315" s="336"/>
    </row>
    <row r="316" spans="1:58" outlineLevel="1" x14ac:dyDescent="0.35">
      <c r="B316" s="499" t="s">
        <v>954</v>
      </c>
      <c r="C316" s="465" t="s">
        <v>921</v>
      </c>
      <c r="D316" s="551">
        <f>'Summary DPK-7 '!K58-D304</f>
        <v>0</v>
      </c>
      <c r="E316" s="1279"/>
      <c r="AS316" s="329"/>
      <c r="BC316" s="551">
        <f>'Summary DPK-7 '!M58-BC304</f>
        <v>0</v>
      </c>
      <c r="BD316" s="444"/>
      <c r="BF316" s="336"/>
    </row>
    <row r="317" spans="1:58" x14ac:dyDescent="0.35">
      <c r="B317" s="411"/>
      <c r="C317" s="465"/>
      <c r="D317" s="502"/>
      <c r="AS317" s="329"/>
      <c r="BC317" s="502"/>
      <c r="BD317" s="444"/>
      <c r="BF317" s="336"/>
    </row>
    <row r="318" spans="1:58" hidden="1" outlineLevel="1" x14ac:dyDescent="0.35">
      <c r="A318" s="456"/>
      <c r="B318" s="458"/>
      <c r="C318" s="515"/>
      <c r="D318" s="460"/>
      <c r="E318" s="461"/>
      <c r="F318" s="461"/>
      <c r="G318" s="461"/>
      <c r="H318" s="461"/>
      <c r="I318" s="461"/>
      <c r="J318" s="461"/>
      <c r="K318" s="461"/>
      <c r="L318" s="461"/>
      <c r="M318" s="461"/>
      <c r="N318" s="461"/>
      <c r="O318" s="461"/>
      <c r="P318" s="461"/>
      <c r="Q318" s="461"/>
      <c r="R318" s="461"/>
      <c r="S318" s="461"/>
      <c r="T318" s="461"/>
      <c r="U318" s="461"/>
      <c r="V318" s="461"/>
      <c r="W318" s="461"/>
      <c r="X318" s="461"/>
      <c r="Y318" s="461"/>
      <c r="Z318" s="461"/>
      <c r="AA318" s="461"/>
      <c r="AB318" s="461"/>
      <c r="AC318" s="461"/>
      <c r="AD318" s="461"/>
      <c r="AE318" s="461"/>
      <c r="AF318" s="461"/>
      <c r="AG318" s="461"/>
      <c r="AH318" s="461"/>
      <c r="AI318" s="461"/>
      <c r="AJ318" s="461"/>
      <c r="AK318" s="461"/>
      <c r="AL318" s="461"/>
      <c r="AM318" s="461"/>
      <c r="AN318" s="461"/>
      <c r="AO318" s="461"/>
      <c r="AP318" s="461"/>
      <c r="AQ318" s="461"/>
      <c r="AR318" s="461"/>
      <c r="AS318" s="461"/>
      <c r="AT318" s="461"/>
      <c r="AU318" s="461"/>
      <c r="AV318" s="461"/>
      <c r="AW318" s="461"/>
      <c r="AX318" s="461"/>
      <c r="AY318" s="461"/>
      <c r="AZ318" s="461"/>
      <c r="BB318" s="461"/>
      <c r="BC318" s="461"/>
      <c r="BD318" s="444"/>
      <c r="BF318" s="336"/>
    </row>
    <row r="319" spans="1:58" hidden="1" outlineLevel="1" x14ac:dyDescent="0.35">
      <c r="A319" s="456"/>
      <c r="B319" s="458"/>
      <c r="C319" s="515"/>
      <c r="D319" s="462"/>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c r="AA319" s="463"/>
      <c r="AB319" s="463"/>
      <c r="AC319" s="463"/>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3"/>
      <c r="AY319" s="463"/>
      <c r="AZ319" s="463"/>
      <c r="BB319" s="456"/>
      <c r="BC319" s="462"/>
      <c r="BD319" s="444"/>
      <c r="BF319" s="336"/>
    </row>
    <row r="320" spans="1:58" hidden="1" outlineLevel="1" x14ac:dyDescent="0.35">
      <c r="B320" s="464" t="s">
        <v>0</v>
      </c>
      <c r="C320" s="516"/>
      <c r="D320" s="476"/>
      <c r="AS320" s="329"/>
      <c r="BB320" s="467"/>
      <c r="BC320" s="467"/>
      <c r="BD320" s="444"/>
      <c r="BF320" s="336"/>
    </row>
    <row r="321" spans="1:58" hidden="1" outlineLevel="1" x14ac:dyDescent="0.35">
      <c r="B321" s="464" t="s">
        <v>48</v>
      </c>
      <c r="C321" s="516"/>
      <c r="D321" s="467"/>
      <c r="E321" s="468">
        <f>'Common Adj'!$O$37</f>
        <v>0</v>
      </c>
      <c r="F321" s="469"/>
      <c r="G321" s="469"/>
      <c r="H321" s="469"/>
      <c r="I321" s="469"/>
      <c r="J321" s="469"/>
      <c r="K321" s="469"/>
      <c r="L321" s="469"/>
      <c r="M321" s="469"/>
      <c r="N321" s="469"/>
      <c r="O321" s="469"/>
      <c r="P321" s="469"/>
      <c r="Q321" s="469"/>
      <c r="R321" s="469"/>
      <c r="S321" s="469"/>
      <c r="T321" s="469"/>
      <c r="U321" s="469"/>
      <c r="V321" s="469"/>
      <c r="W321" s="469"/>
      <c r="X321" s="469"/>
      <c r="Y321" s="469"/>
      <c r="Z321" s="469"/>
      <c r="AA321" s="469"/>
      <c r="AB321" s="469"/>
      <c r="AC321" s="469"/>
      <c r="AD321" s="469"/>
      <c r="AE321" s="469"/>
      <c r="AF321" s="469"/>
      <c r="AG321" s="469"/>
      <c r="AH321" s="469"/>
      <c r="AI321" s="469"/>
      <c r="AJ321" s="469"/>
      <c r="AK321" s="469"/>
      <c r="AL321" s="469"/>
      <c r="AM321" s="469"/>
      <c r="AN321" s="469"/>
      <c r="AO321" s="469"/>
      <c r="AP321" s="469"/>
      <c r="AQ321" s="469"/>
      <c r="AR321" s="469"/>
      <c r="AS321" s="469"/>
      <c r="AT321" s="469"/>
      <c r="AU321" s="469"/>
      <c r="AV321" s="469"/>
      <c r="AW321" s="468"/>
      <c r="AX321" s="468"/>
      <c r="AY321" s="469"/>
      <c r="AZ321" s="469"/>
      <c r="BB321" s="467">
        <f>SUM(E321:AZ321)</f>
        <v>0</v>
      </c>
      <c r="BC321" s="467">
        <f>+BB321+D321</f>
        <v>0</v>
      </c>
      <c r="BD321" s="444"/>
      <c r="BF321" s="336"/>
    </row>
    <row r="322" spans="1:58" hidden="1" outlineLevel="1" x14ac:dyDescent="0.35">
      <c r="B322" s="464" t="s">
        <v>49</v>
      </c>
      <c r="C322" s="516"/>
      <c r="D322" s="470"/>
      <c r="E322" s="471"/>
      <c r="F322" s="472"/>
      <c r="G322" s="472"/>
      <c r="H322" s="472"/>
      <c r="I322" s="472"/>
      <c r="J322" s="472"/>
      <c r="K322" s="472"/>
      <c r="L322" s="472"/>
      <c r="M322" s="472"/>
      <c r="N322" s="472"/>
      <c r="O322" s="472"/>
      <c r="P322" s="472"/>
      <c r="Q322" s="472"/>
      <c r="R322" s="472"/>
      <c r="S322" s="472"/>
      <c r="T322" s="472"/>
      <c r="U322" s="472"/>
      <c r="V322" s="472"/>
      <c r="W322" s="472"/>
      <c r="X322" s="472"/>
      <c r="Y322" s="472"/>
      <c r="Z322" s="472"/>
      <c r="AA322" s="472"/>
      <c r="AB322" s="472"/>
      <c r="AC322" s="472"/>
      <c r="AD322" s="472"/>
      <c r="AE322" s="472"/>
      <c r="AF322" s="472"/>
      <c r="AG322" s="472"/>
      <c r="AH322" s="472"/>
      <c r="AI322" s="472"/>
      <c r="AJ322" s="472"/>
      <c r="AK322" s="472"/>
      <c r="AL322" s="472"/>
      <c r="AM322" s="472"/>
      <c r="AN322" s="472"/>
      <c r="AO322" s="472"/>
      <c r="AP322" s="472"/>
      <c r="AQ322" s="472"/>
      <c r="AR322" s="472"/>
      <c r="AS322" s="472"/>
      <c r="AT322" s="472"/>
      <c r="AU322" s="472"/>
      <c r="AV322" s="472"/>
      <c r="AW322" s="471"/>
      <c r="AX322" s="471"/>
      <c r="AY322" s="472"/>
      <c r="AZ322" s="472"/>
      <c r="BB322" s="470">
        <f>SUM(E322:AZ322)</f>
        <v>0</v>
      </c>
      <c r="BC322" s="470">
        <f>+BB322+D322</f>
        <v>0</v>
      </c>
      <c r="BD322" s="444"/>
      <c r="BF322" s="336"/>
    </row>
    <row r="323" spans="1:58" hidden="1" outlineLevel="1" x14ac:dyDescent="0.35">
      <c r="B323" s="464" t="s">
        <v>50</v>
      </c>
      <c r="C323" s="516"/>
      <c r="D323" s="470"/>
      <c r="E323" s="471"/>
      <c r="F323" s="472"/>
      <c r="G323" s="472"/>
      <c r="H323" s="472"/>
      <c r="I323" s="472"/>
      <c r="J323" s="472"/>
      <c r="K323" s="472"/>
      <c r="L323" s="472"/>
      <c r="M323" s="472"/>
      <c r="N323" s="472"/>
      <c r="O323" s="472"/>
      <c r="P323" s="472"/>
      <c r="Q323" s="472"/>
      <c r="R323" s="472"/>
      <c r="S323" s="472"/>
      <c r="T323" s="472"/>
      <c r="U323" s="472"/>
      <c r="V323" s="472"/>
      <c r="W323" s="472"/>
      <c r="X323" s="472"/>
      <c r="Y323" s="472"/>
      <c r="Z323" s="472"/>
      <c r="AA323" s="472"/>
      <c r="AB323" s="472"/>
      <c r="AC323" s="472"/>
      <c r="AD323" s="472"/>
      <c r="AE323" s="472"/>
      <c r="AF323" s="472"/>
      <c r="AG323" s="472"/>
      <c r="AH323" s="472"/>
      <c r="AI323" s="511"/>
      <c r="AJ323" s="511"/>
      <c r="AK323" s="511"/>
      <c r="AL323" s="511"/>
      <c r="AM323" s="511"/>
      <c r="AN323" s="511"/>
      <c r="AO323" s="511"/>
      <c r="AP323" s="472"/>
      <c r="AQ323" s="472"/>
      <c r="AR323" s="472"/>
      <c r="AS323" s="472"/>
      <c r="AT323" s="472"/>
      <c r="AU323" s="472"/>
      <c r="AV323" s="472"/>
      <c r="AW323" s="471"/>
      <c r="AX323" s="471"/>
      <c r="AY323" s="472"/>
      <c r="AZ323" s="472"/>
      <c r="BB323" s="470">
        <f>SUM(E323:AZ323)</f>
        <v>0</v>
      </c>
      <c r="BC323" s="470">
        <f>+BB323+D323</f>
        <v>0</v>
      </c>
      <c r="BD323" s="444"/>
      <c r="BF323" s="336"/>
    </row>
    <row r="324" spans="1:58" customFormat="1" hidden="1" outlineLevel="1" x14ac:dyDescent="0.35">
      <c r="A324" s="329"/>
      <c r="B324" s="464" t="s">
        <v>51</v>
      </c>
      <c r="C324" s="516"/>
      <c r="D324" s="470"/>
      <c r="E324" s="471"/>
      <c r="F324" s="472"/>
      <c r="G324" s="472"/>
      <c r="H324" s="472"/>
      <c r="I324" s="472"/>
      <c r="J324" s="472"/>
      <c r="K324" s="472"/>
      <c r="L324" s="472"/>
      <c r="M324" s="472"/>
      <c r="N324" s="472"/>
      <c r="O324" s="472"/>
      <c r="P324" s="472"/>
      <c r="Q324" s="472"/>
      <c r="R324" s="472"/>
      <c r="S324" s="472"/>
      <c r="T324" s="472"/>
      <c r="U324" s="472"/>
      <c r="V324" s="472"/>
      <c r="W324" s="472"/>
      <c r="X324" s="472"/>
      <c r="Y324" s="472"/>
      <c r="Z324" s="471"/>
      <c r="AA324" s="471"/>
      <c r="AB324" s="471"/>
      <c r="AC324" s="472"/>
      <c r="AD324" s="472"/>
      <c r="AE324" s="472"/>
      <c r="AF324" s="472"/>
      <c r="AG324" s="472"/>
      <c r="AH324" s="472"/>
      <c r="AI324" s="511"/>
      <c r="AJ324" s="511"/>
      <c r="AK324" s="511"/>
      <c r="AL324" s="511"/>
      <c r="AM324" s="511"/>
      <c r="AN324" s="511"/>
      <c r="AO324" s="511"/>
      <c r="AP324" s="472"/>
      <c r="AQ324" s="472"/>
      <c r="AR324" s="472"/>
      <c r="AS324" s="472"/>
      <c r="AT324" s="472"/>
      <c r="AU324" s="472"/>
      <c r="AV324" s="472"/>
      <c r="AW324" s="471"/>
      <c r="AX324" s="471"/>
      <c r="AY324" s="472"/>
      <c r="AZ324" s="472"/>
      <c r="BB324" s="470">
        <f>SUM(E324:AZ324)</f>
        <v>0</v>
      </c>
      <c r="BC324" s="470">
        <f>+BB324+D324</f>
        <v>0</v>
      </c>
      <c r="BD324" s="444"/>
      <c r="BF324" s="336"/>
    </row>
    <row r="325" spans="1:58" customFormat="1" hidden="1" outlineLevel="1" x14ac:dyDescent="0.35">
      <c r="A325" s="329"/>
      <c r="B325" s="464" t="s">
        <v>58</v>
      </c>
      <c r="C325" s="516"/>
      <c r="D325" s="473">
        <f t="shared" ref="D325:BC325" si="105">SUM(D321:D324)</f>
        <v>0</v>
      </c>
      <c r="E325" s="474">
        <f t="shared" si="105"/>
        <v>0</v>
      </c>
      <c r="F325" s="436">
        <f t="shared" si="105"/>
        <v>0</v>
      </c>
      <c r="G325" s="436">
        <f t="shared" si="105"/>
        <v>0</v>
      </c>
      <c r="H325" s="436">
        <f t="shared" si="105"/>
        <v>0</v>
      </c>
      <c r="I325" s="436">
        <f t="shared" si="105"/>
        <v>0</v>
      </c>
      <c r="J325" s="436">
        <f t="shared" si="105"/>
        <v>0</v>
      </c>
      <c r="K325" s="436">
        <f t="shared" si="105"/>
        <v>0</v>
      </c>
      <c r="L325" s="436">
        <f t="shared" si="105"/>
        <v>0</v>
      </c>
      <c r="M325" s="436">
        <f t="shared" si="105"/>
        <v>0</v>
      </c>
      <c r="N325" s="436">
        <f t="shared" si="105"/>
        <v>0</v>
      </c>
      <c r="O325" s="436">
        <f t="shared" si="105"/>
        <v>0</v>
      </c>
      <c r="P325" s="436">
        <f t="shared" si="105"/>
        <v>0</v>
      </c>
      <c r="Q325" s="436">
        <f t="shared" si="105"/>
        <v>0</v>
      </c>
      <c r="R325" s="436">
        <f t="shared" si="105"/>
        <v>0</v>
      </c>
      <c r="S325" s="436">
        <f t="shared" si="105"/>
        <v>0</v>
      </c>
      <c r="T325" s="436">
        <f t="shared" si="105"/>
        <v>0</v>
      </c>
      <c r="U325" s="436">
        <f t="shared" si="105"/>
        <v>0</v>
      </c>
      <c r="V325" s="436">
        <f t="shared" si="105"/>
        <v>0</v>
      </c>
      <c r="W325" s="436">
        <f t="shared" si="105"/>
        <v>0</v>
      </c>
      <c r="X325" s="436">
        <f t="shared" si="105"/>
        <v>0</v>
      </c>
      <c r="Y325" s="436">
        <f t="shared" si="105"/>
        <v>0</v>
      </c>
      <c r="Z325" s="474">
        <f t="shared" si="105"/>
        <v>0</v>
      </c>
      <c r="AA325" s="474">
        <f t="shared" si="105"/>
        <v>0</v>
      </c>
      <c r="AB325" s="474">
        <f t="shared" si="105"/>
        <v>0</v>
      </c>
      <c r="AC325" s="436">
        <f t="shared" si="105"/>
        <v>0</v>
      </c>
      <c r="AD325" s="436">
        <f t="shared" si="105"/>
        <v>0</v>
      </c>
      <c r="AE325" s="436">
        <f t="shared" si="105"/>
        <v>0</v>
      </c>
      <c r="AF325" s="436">
        <f t="shared" si="105"/>
        <v>0</v>
      </c>
      <c r="AG325" s="436">
        <f t="shared" si="105"/>
        <v>0</v>
      </c>
      <c r="AH325" s="436">
        <f t="shared" si="105"/>
        <v>0</v>
      </c>
      <c r="AI325" s="522">
        <f t="shared" si="105"/>
        <v>0</v>
      </c>
      <c r="AJ325" s="522"/>
      <c r="AK325" s="522"/>
      <c r="AL325" s="522"/>
      <c r="AM325" s="522"/>
      <c r="AN325" s="522"/>
      <c r="AO325" s="522"/>
      <c r="AP325" s="436">
        <f t="shared" si="105"/>
        <v>0</v>
      </c>
      <c r="AQ325" s="436">
        <f t="shared" si="105"/>
        <v>0</v>
      </c>
      <c r="AR325" s="436">
        <f t="shared" si="105"/>
        <v>0</v>
      </c>
      <c r="AS325" s="436">
        <f t="shared" si="105"/>
        <v>0</v>
      </c>
      <c r="AT325" s="436"/>
      <c r="AU325" s="436"/>
      <c r="AV325" s="436"/>
      <c r="AW325" s="474"/>
      <c r="AX325" s="474"/>
      <c r="AY325" s="436"/>
      <c r="AZ325" s="436"/>
      <c r="BB325" s="473">
        <f t="shared" si="105"/>
        <v>0</v>
      </c>
      <c r="BC325" s="473">
        <f t="shared" si="105"/>
        <v>0</v>
      </c>
      <c r="BD325" s="444"/>
      <c r="BF325" s="336"/>
    </row>
    <row r="326" spans="1:58" customFormat="1" hidden="1" outlineLevel="1" x14ac:dyDescent="0.35">
      <c r="A326" s="329"/>
      <c r="B326" s="475"/>
      <c r="C326" s="516"/>
      <c r="D326" s="470"/>
      <c r="E326" s="471"/>
      <c r="F326" s="472"/>
      <c r="G326" s="472"/>
      <c r="H326" s="472"/>
      <c r="I326" s="472"/>
      <c r="J326" s="472"/>
      <c r="K326" s="472"/>
      <c r="L326" s="472"/>
      <c r="M326" s="472"/>
      <c r="N326" s="472"/>
      <c r="O326" s="472"/>
      <c r="P326" s="472"/>
      <c r="Q326" s="472"/>
      <c r="R326" s="472"/>
      <c r="S326" s="472"/>
      <c r="T326" s="472"/>
      <c r="U326" s="472"/>
      <c r="V326" s="472"/>
      <c r="W326" s="472"/>
      <c r="X326" s="472"/>
      <c r="Y326" s="472"/>
      <c r="Z326" s="471"/>
      <c r="AA326" s="471"/>
      <c r="AB326" s="471"/>
      <c r="AC326" s="472"/>
      <c r="AD326" s="472"/>
      <c r="AE326" s="472"/>
      <c r="AF326" s="472"/>
      <c r="AG326" s="472"/>
      <c r="AH326" s="472"/>
      <c r="AI326" s="472"/>
      <c r="AJ326" s="472"/>
      <c r="AK326" s="472"/>
      <c r="AL326" s="472"/>
      <c r="AM326" s="472"/>
      <c r="AN326" s="472"/>
      <c r="AO326" s="472"/>
      <c r="AP326" s="472"/>
      <c r="AQ326" s="472"/>
      <c r="AR326" s="472"/>
      <c r="AS326" s="472"/>
      <c r="AT326" s="472"/>
      <c r="AU326" s="472"/>
      <c r="AV326" s="472"/>
      <c r="AW326" s="471"/>
      <c r="AX326" s="471"/>
      <c r="AY326" s="472"/>
      <c r="AZ326" s="472"/>
      <c r="BB326" s="470"/>
      <c r="BC326" s="470"/>
      <c r="BD326" s="444"/>
      <c r="BF326" s="336"/>
    </row>
    <row r="327" spans="1:58" customFormat="1" hidden="1" outlineLevel="1" x14ac:dyDescent="0.35">
      <c r="A327" s="329"/>
      <c r="B327" s="464" t="s">
        <v>52</v>
      </c>
      <c r="C327" s="516"/>
      <c r="D327" s="466"/>
      <c r="E327" s="341"/>
      <c r="F327" s="329"/>
      <c r="G327" s="329"/>
      <c r="H327" s="329"/>
      <c r="I327" s="329"/>
      <c r="J327" s="329"/>
      <c r="K327" s="329"/>
      <c r="L327" s="329"/>
      <c r="M327" s="329"/>
      <c r="N327" s="329"/>
      <c r="O327" s="329"/>
      <c r="P327" s="329"/>
      <c r="Q327" s="329"/>
      <c r="R327" s="329"/>
      <c r="S327" s="329"/>
      <c r="T327" s="329"/>
      <c r="U327" s="329"/>
      <c r="V327" s="329"/>
      <c r="W327" s="329"/>
      <c r="X327" s="329"/>
      <c r="Y327" s="329"/>
      <c r="Z327" s="341"/>
      <c r="AA327" s="341"/>
      <c r="AB327" s="341"/>
      <c r="AC327" s="329"/>
      <c r="AD327" s="329"/>
      <c r="AE327" s="329"/>
      <c r="AF327" s="329"/>
      <c r="AG327" s="329"/>
      <c r="AH327" s="329"/>
      <c r="AI327" s="329"/>
      <c r="AJ327" s="329"/>
      <c r="AK327" s="329"/>
      <c r="AL327" s="329"/>
      <c r="AM327" s="329"/>
      <c r="AN327" s="329"/>
      <c r="AO327" s="329"/>
      <c r="AP327" s="329"/>
      <c r="AQ327" s="329"/>
      <c r="AR327" s="329"/>
      <c r="AS327" s="329"/>
      <c r="AT327" s="329"/>
      <c r="AU327" s="329"/>
      <c r="AV327" s="329"/>
      <c r="AW327" s="341"/>
      <c r="AX327" s="341"/>
      <c r="AY327" s="329"/>
      <c r="AZ327" s="329"/>
      <c r="BB327" s="466"/>
      <c r="BC327" s="466"/>
      <c r="BD327" s="444"/>
      <c r="BF327" s="336"/>
    </row>
    <row r="328" spans="1:58" customFormat="1" hidden="1" outlineLevel="1" x14ac:dyDescent="0.35">
      <c r="A328" s="329"/>
      <c r="B328" s="329"/>
      <c r="C328" s="516"/>
      <c r="D328" s="466"/>
      <c r="E328" s="341"/>
      <c r="F328" s="329"/>
      <c r="G328" s="329"/>
      <c r="H328" s="329"/>
      <c r="I328" s="329"/>
      <c r="J328" s="329"/>
      <c r="K328" s="329"/>
      <c r="L328" s="329"/>
      <c r="M328" s="329"/>
      <c r="N328" s="329"/>
      <c r="O328" s="329"/>
      <c r="P328" s="329"/>
      <c r="Q328" s="329"/>
      <c r="R328" s="329"/>
      <c r="S328" s="329"/>
      <c r="T328" s="329"/>
      <c r="U328" s="329"/>
      <c r="V328" s="329"/>
      <c r="W328" s="329"/>
      <c r="X328" s="329"/>
      <c r="Y328" s="329"/>
      <c r="Z328" s="341"/>
      <c r="AA328" s="341"/>
      <c r="AB328" s="341"/>
      <c r="AC328" s="329"/>
      <c r="AD328" s="329"/>
      <c r="AE328" s="329"/>
      <c r="AF328" s="329"/>
      <c r="AG328" s="329"/>
      <c r="AH328" s="329"/>
      <c r="AI328" s="329"/>
      <c r="AJ328" s="329"/>
      <c r="AK328" s="329"/>
      <c r="AL328" s="329"/>
      <c r="AM328" s="329"/>
      <c r="AN328" s="329"/>
      <c r="AO328" s="329"/>
      <c r="AP328" s="329"/>
      <c r="AQ328" s="329"/>
      <c r="AR328" s="329"/>
      <c r="AS328" s="329"/>
      <c r="AT328" s="329"/>
      <c r="AU328" s="329"/>
      <c r="AV328" s="329"/>
      <c r="AW328" s="341"/>
      <c r="AX328" s="341"/>
      <c r="AY328" s="329"/>
      <c r="AZ328" s="329"/>
      <c r="BB328" s="466"/>
      <c r="BC328" s="466"/>
      <c r="BD328" s="444"/>
      <c r="BF328" s="336"/>
    </row>
    <row r="329" spans="1:58" customFormat="1" hidden="1" outlineLevel="1" x14ac:dyDescent="0.35">
      <c r="A329" s="329"/>
      <c r="B329" s="464" t="s">
        <v>53</v>
      </c>
      <c r="C329" s="516"/>
      <c r="D329" s="466"/>
      <c r="E329" s="341"/>
      <c r="F329" s="329"/>
      <c r="G329" s="329"/>
      <c r="H329" s="329"/>
      <c r="I329" s="329"/>
      <c r="J329" s="329"/>
      <c r="K329" s="329"/>
      <c r="L329" s="329"/>
      <c r="M329" s="329"/>
      <c r="N329" s="329"/>
      <c r="O329" s="329"/>
      <c r="P329" s="329"/>
      <c r="Q329" s="329"/>
      <c r="R329" s="329"/>
      <c r="S329" s="329"/>
      <c r="T329" s="329"/>
      <c r="U329" s="329"/>
      <c r="V329" s="329"/>
      <c r="W329" s="329"/>
      <c r="X329" s="329"/>
      <c r="Y329" s="329"/>
      <c r="Z329" s="341"/>
      <c r="AA329" s="341"/>
      <c r="AB329" s="341"/>
      <c r="AC329" s="329"/>
      <c r="AD329" s="329"/>
      <c r="AE329" s="329"/>
      <c r="AF329" s="329"/>
      <c r="AG329" s="329"/>
      <c r="AH329" s="329"/>
      <c r="AI329" s="329"/>
      <c r="AJ329" s="329"/>
      <c r="AK329" s="329"/>
      <c r="AL329" s="329"/>
      <c r="AM329" s="329"/>
      <c r="AN329" s="329"/>
      <c r="AO329" s="329"/>
      <c r="AP329" s="329"/>
      <c r="AQ329" s="329"/>
      <c r="AR329" s="329"/>
      <c r="AS329" s="329"/>
      <c r="AT329" s="329"/>
      <c r="AU329" s="329"/>
      <c r="AV329" s="329"/>
      <c r="AW329" s="341"/>
      <c r="AX329" s="341"/>
      <c r="AY329" s="329"/>
      <c r="AZ329" s="329"/>
      <c r="BB329" s="466"/>
      <c r="BC329" s="466"/>
      <c r="BD329" s="444"/>
      <c r="BF329" s="336"/>
    </row>
    <row r="330" spans="1:58" customFormat="1" hidden="1" outlineLevel="1" x14ac:dyDescent="0.35">
      <c r="A330" s="329"/>
      <c r="B330" s="464" t="s">
        <v>54</v>
      </c>
      <c r="C330" s="516"/>
      <c r="D330" s="476"/>
      <c r="E330" s="420"/>
      <c r="F330" s="173"/>
      <c r="G330" s="173"/>
      <c r="H330" s="173"/>
      <c r="I330" s="173"/>
      <c r="J330" s="173"/>
      <c r="K330" s="173"/>
      <c r="L330" s="173"/>
      <c r="M330" s="173"/>
      <c r="N330" s="173"/>
      <c r="O330" s="173"/>
      <c r="P330" s="173"/>
      <c r="Q330" s="173"/>
      <c r="R330" s="173"/>
      <c r="S330" s="173"/>
      <c r="T330" s="173"/>
      <c r="U330" s="173"/>
      <c r="V330" s="173"/>
      <c r="W330" s="173"/>
      <c r="X330" s="173"/>
      <c r="Y330" s="173"/>
      <c r="Z330" s="420"/>
      <c r="AA330" s="420"/>
      <c r="AB330" s="420"/>
      <c r="AC330" s="173"/>
      <c r="AD330" s="173"/>
      <c r="AE330" s="173"/>
      <c r="AF330" s="173"/>
      <c r="AG330" s="173"/>
      <c r="AH330" s="173"/>
      <c r="AI330" s="510"/>
      <c r="AJ330" s="510"/>
      <c r="AK330" s="510"/>
      <c r="AL330" s="510"/>
      <c r="AM330" s="510"/>
      <c r="AN330" s="510"/>
      <c r="AO330" s="510"/>
      <c r="AP330" s="173"/>
      <c r="AQ330" s="173"/>
      <c r="AR330" s="173"/>
      <c r="AS330" s="173"/>
      <c r="AT330" s="173"/>
      <c r="AU330" s="173"/>
      <c r="AV330" s="173"/>
      <c r="AW330" s="420"/>
      <c r="AX330" s="420"/>
      <c r="AY330" s="173"/>
      <c r="AZ330" s="173"/>
      <c r="BB330" s="476">
        <f>SUM(E330:AZ330)</f>
        <v>0</v>
      </c>
      <c r="BC330" s="476">
        <f>+BB330+D330</f>
        <v>0</v>
      </c>
      <c r="BD330" s="444"/>
      <c r="BF330" s="336"/>
    </row>
    <row r="331" spans="1:58" customFormat="1" hidden="1" outlineLevel="1" x14ac:dyDescent="0.35">
      <c r="A331" s="329"/>
      <c r="B331" s="464" t="s">
        <v>55</v>
      </c>
      <c r="C331" s="516"/>
      <c r="D331" s="470"/>
      <c r="E331" s="471"/>
      <c r="F331" s="472"/>
      <c r="G331" s="472"/>
      <c r="H331" s="472"/>
      <c r="I331" s="472"/>
      <c r="J331" s="472"/>
      <c r="K331" s="472"/>
      <c r="L331" s="472"/>
      <c r="M331" s="472"/>
      <c r="N331" s="472"/>
      <c r="O331" s="472"/>
      <c r="P331" s="472"/>
      <c r="Q331" s="472"/>
      <c r="R331" s="472"/>
      <c r="S331" s="472"/>
      <c r="T331" s="472"/>
      <c r="U331" s="472"/>
      <c r="V331" s="472"/>
      <c r="W331" s="472"/>
      <c r="X331" s="472"/>
      <c r="Y331" s="472"/>
      <c r="Z331" s="471"/>
      <c r="AA331" s="471"/>
      <c r="AB331" s="471"/>
      <c r="AC331" s="472"/>
      <c r="AD331" s="472"/>
      <c r="AE331" s="472"/>
      <c r="AF331" s="472"/>
      <c r="AG331" s="472"/>
      <c r="AH331" s="472"/>
      <c r="AI331" s="511"/>
      <c r="AJ331" s="511"/>
      <c r="AK331" s="511"/>
      <c r="AL331" s="511"/>
      <c r="AM331" s="511"/>
      <c r="AN331" s="511"/>
      <c r="AO331" s="511"/>
      <c r="AP331" s="472"/>
      <c r="AQ331" s="472"/>
      <c r="AR331" s="472"/>
      <c r="AS331" s="472"/>
      <c r="AT331" s="472"/>
      <c r="AU331" s="472"/>
      <c r="AV331" s="472"/>
      <c r="AW331" s="471"/>
      <c r="AX331" s="471"/>
      <c r="AY331" s="472"/>
      <c r="AZ331" s="472"/>
      <c r="BB331" s="470">
        <f>SUM(E331:AZ331)</f>
        <v>0</v>
      </c>
      <c r="BC331" s="470">
        <f>+BB331+D331</f>
        <v>0</v>
      </c>
      <c r="BD331" s="444"/>
      <c r="BF331" s="336"/>
    </row>
    <row r="332" spans="1:58" hidden="1" outlineLevel="1" x14ac:dyDescent="0.35">
      <c r="B332" s="464" t="s">
        <v>56</v>
      </c>
      <c r="C332" s="516"/>
      <c r="D332" s="470"/>
      <c r="E332" s="471"/>
      <c r="F332" s="472"/>
      <c r="G332" s="472"/>
      <c r="H332" s="472"/>
      <c r="I332" s="472"/>
      <c r="J332" s="472"/>
      <c r="K332" s="472"/>
      <c r="L332" s="472"/>
      <c r="M332" s="472"/>
      <c r="N332" s="472"/>
      <c r="O332" s="472"/>
      <c r="P332" s="472"/>
      <c r="Q332" s="472"/>
      <c r="R332" s="472"/>
      <c r="S332" s="472"/>
      <c r="T332" s="472"/>
      <c r="U332" s="472"/>
      <c r="V332" s="472"/>
      <c r="W332" s="472"/>
      <c r="X332" s="472"/>
      <c r="Y332" s="472"/>
      <c r="Z332" s="471"/>
      <c r="AA332" s="471"/>
      <c r="AB332" s="471"/>
      <c r="AC332" s="472"/>
      <c r="AD332" s="472"/>
      <c r="AE332" s="472"/>
      <c r="AF332" s="472"/>
      <c r="AG332" s="472"/>
      <c r="AH332" s="472"/>
      <c r="AI332" s="511"/>
      <c r="AJ332" s="511"/>
      <c r="AK332" s="511"/>
      <c r="AL332" s="511"/>
      <c r="AM332" s="511"/>
      <c r="AN332" s="511"/>
      <c r="AO332" s="511"/>
      <c r="AP332" s="472"/>
      <c r="AQ332" s="472"/>
      <c r="AR332" s="472"/>
      <c r="AS332" s="472"/>
      <c r="AT332" s="472"/>
      <c r="AU332" s="472"/>
      <c r="AV332" s="472"/>
      <c r="AW332" s="471"/>
      <c r="AX332" s="471"/>
      <c r="AY332" s="472"/>
      <c r="AZ332" s="472"/>
      <c r="BB332" s="470">
        <f>SUM(E332:AZ332)</f>
        <v>0</v>
      </c>
      <c r="BC332" s="470">
        <f>+BB332+D332</f>
        <v>0</v>
      </c>
      <c r="BD332" s="444"/>
      <c r="BF332" s="336"/>
    </row>
    <row r="333" spans="1:58" hidden="1" outlineLevel="1" x14ac:dyDescent="0.35">
      <c r="B333" s="329" t="s">
        <v>57</v>
      </c>
      <c r="C333" s="516"/>
      <c r="D333" s="470"/>
      <c r="E333" s="471"/>
      <c r="F333" s="472"/>
      <c r="G333" s="472"/>
      <c r="H333" s="472"/>
      <c r="I333" s="472"/>
      <c r="J333" s="472"/>
      <c r="K333" s="472"/>
      <c r="L333" s="472"/>
      <c r="M333" s="472"/>
      <c r="N333" s="472"/>
      <c r="O333" s="472"/>
      <c r="P333" s="472"/>
      <c r="Q333" s="472"/>
      <c r="R333" s="472"/>
      <c r="S333" s="472"/>
      <c r="T333" s="472"/>
      <c r="U333" s="472"/>
      <c r="V333" s="472"/>
      <c r="W333" s="472"/>
      <c r="X333" s="472"/>
      <c r="Y333" s="472"/>
      <c r="Z333" s="471"/>
      <c r="AA333" s="471"/>
      <c r="AB333" s="471"/>
      <c r="AC333" s="472"/>
      <c r="AD333" s="472"/>
      <c r="AE333" s="472"/>
      <c r="AF333" s="472"/>
      <c r="AG333" s="472"/>
      <c r="AH333" s="472"/>
      <c r="AI333" s="472"/>
      <c r="AJ333" s="472"/>
      <c r="AK333" s="472"/>
      <c r="AL333" s="472"/>
      <c r="AM333" s="472"/>
      <c r="AN333" s="472"/>
      <c r="AO333" s="472"/>
      <c r="AP333" s="472"/>
      <c r="AQ333" s="472"/>
      <c r="AR333" s="472"/>
      <c r="AS333" s="472"/>
      <c r="AT333" s="472"/>
      <c r="AU333" s="472"/>
      <c r="AV333" s="472"/>
      <c r="AW333" s="471"/>
      <c r="AX333" s="471"/>
      <c r="AY333" s="472"/>
      <c r="AZ333" s="472"/>
      <c r="BB333" s="470">
        <f>SUM(E333:AZ333)</f>
        <v>0</v>
      </c>
      <c r="BC333" s="470">
        <f>+BB333+D333</f>
        <v>0</v>
      </c>
      <c r="BD333" s="444"/>
      <c r="BF333" s="336"/>
    </row>
    <row r="334" spans="1:58" hidden="1" outlineLevel="1" x14ac:dyDescent="0.35">
      <c r="B334" s="464" t="s">
        <v>1</v>
      </c>
      <c r="C334" s="516"/>
      <c r="D334" s="477">
        <f t="shared" ref="D334:BC334" si="106">SUM(D329:D333)</f>
        <v>0</v>
      </c>
      <c r="E334" s="478">
        <f t="shared" si="106"/>
        <v>0</v>
      </c>
      <c r="F334" s="479">
        <f t="shared" si="106"/>
        <v>0</v>
      </c>
      <c r="G334" s="479">
        <f t="shared" si="106"/>
        <v>0</v>
      </c>
      <c r="H334" s="479">
        <f t="shared" si="106"/>
        <v>0</v>
      </c>
      <c r="I334" s="479">
        <f t="shared" si="106"/>
        <v>0</v>
      </c>
      <c r="J334" s="479">
        <f t="shared" si="106"/>
        <v>0</v>
      </c>
      <c r="K334" s="479">
        <f t="shared" si="106"/>
        <v>0</v>
      </c>
      <c r="L334" s="479">
        <f t="shared" si="106"/>
        <v>0</v>
      </c>
      <c r="M334" s="479">
        <f t="shared" si="106"/>
        <v>0</v>
      </c>
      <c r="N334" s="479">
        <f t="shared" si="106"/>
        <v>0</v>
      </c>
      <c r="O334" s="479">
        <f t="shared" si="106"/>
        <v>0</v>
      </c>
      <c r="P334" s="479">
        <f t="shared" si="106"/>
        <v>0</v>
      </c>
      <c r="Q334" s="479">
        <f t="shared" si="106"/>
        <v>0</v>
      </c>
      <c r="R334" s="479">
        <f t="shared" si="106"/>
        <v>0</v>
      </c>
      <c r="S334" s="479">
        <f t="shared" si="106"/>
        <v>0</v>
      </c>
      <c r="T334" s="479">
        <f t="shared" si="106"/>
        <v>0</v>
      </c>
      <c r="U334" s="479">
        <f t="shared" si="106"/>
        <v>0</v>
      </c>
      <c r="V334" s="479">
        <f t="shared" si="106"/>
        <v>0</v>
      </c>
      <c r="W334" s="479">
        <f t="shared" si="106"/>
        <v>0</v>
      </c>
      <c r="X334" s="479">
        <f t="shared" si="106"/>
        <v>0</v>
      </c>
      <c r="Y334" s="479">
        <f t="shared" si="106"/>
        <v>0</v>
      </c>
      <c r="Z334" s="478">
        <f t="shared" si="106"/>
        <v>0</v>
      </c>
      <c r="AA334" s="478">
        <f t="shared" si="106"/>
        <v>0</v>
      </c>
      <c r="AB334" s="478">
        <f t="shared" si="106"/>
        <v>0</v>
      </c>
      <c r="AC334" s="479">
        <f t="shared" si="106"/>
        <v>0</v>
      </c>
      <c r="AD334" s="479">
        <f t="shared" si="106"/>
        <v>0</v>
      </c>
      <c r="AE334" s="479">
        <f t="shared" si="106"/>
        <v>0</v>
      </c>
      <c r="AF334" s="479">
        <f t="shared" si="106"/>
        <v>0</v>
      </c>
      <c r="AG334" s="479">
        <f t="shared" si="106"/>
        <v>0</v>
      </c>
      <c r="AH334" s="479">
        <f t="shared" si="106"/>
        <v>0</v>
      </c>
      <c r="AI334" s="523">
        <f t="shared" si="106"/>
        <v>0</v>
      </c>
      <c r="AJ334" s="523"/>
      <c r="AK334" s="523"/>
      <c r="AL334" s="523"/>
      <c r="AM334" s="523"/>
      <c r="AN334" s="523"/>
      <c r="AO334" s="523"/>
      <c r="AP334" s="479">
        <f t="shared" si="106"/>
        <v>0</v>
      </c>
      <c r="AQ334" s="479">
        <f t="shared" si="106"/>
        <v>0</v>
      </c>
      <c r="AR334" s="479">
        <f t="shared" si="106"/>
        <v>0</v>
      </c>
      <c r="AS334" s="479">
        <f t="shared" si="106"/>
        <v>0</v>
      </c>
      <c r="AT334" s="479"/>
      <c r="AU334" s="479"/>
      <c r="AV334" s="479"/>
      <c r="AW334" s="478"/>
      <c r="AX334" s="478"/>
      <c r="AY334" s="479"/>
      <c r="AZ334" s="479"/>
      <c r="BB334" s="477">
        <f t="shared" si="106"/>
        <v>0</v>
      </c>
      <c r="BC334" s="477">
        <f t="shared" si="106"/>
        <v>0</v>
      </c>
      <c r="BD334" s="444"/>
      <c r="BF334" s="336"/>
    </row>
    <row r="335" spans="1:58" hidden="1" outlineLevel="1" x14ac:dyDescent="0.35">
      <c r="B335" s="464"/>
      <c r="C335" s="516"/>
      <c r="D335" s="476"/>
      <c r="E335" s="420"/>
      <c r="F335" s="173"/>
      <c r="G335" s="173"/>
      <c r="H335" s="173"/>
      <c r="I335" s="173"/>
      <c r="J335" s="173"/>
      <c r="K335" s="173"/>
      <c r="L335" s="173"/>
      <c r="M335" s="173"/>
      <c r="N335" s="173"/>
      <c r="O335" s="173"/>
      <c r="P335" s="173"/>
      <c r="Q335" s="173"/>
      <c r="R335" s="173"/>
      <c r="S335" s="173"/>
      <c r="T335" s="173"/>
      <c r="U335" s="173"/>
      <c r="V335" s="173"/>
      <c r="W335" s="173"/>
      <c r="X335" s="173"/>
      <c r="Y335" s="173"/>
      <c r="Z335" s="420"/>
      <c r="AA335" s="420"/>
      <c r="AB335" s="420"/>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420"/>
      <c r="AX335" s="420"/>
      <c r="AY335" s="173"/>
      <c r="AZ335" s="173"/>
      <c r="BB335" s="476"/>
      <c r="BC335" s="476"/>
      <c r="BD335" s="444"/>
      <c r="BF335" s="336"/>
    </row>
    <row r="336" spans="1:58" hidden="1" outlineLevel="1" x14ac:dyDescent="0.35">
      <c r="B336" s="480" t="s">
        <v>59</v>
      </c>
      <c r="C336" s="516"/>
      <c r="D336" s="470"/>
      <c r="E336" s="420"/>
      <c r="F336" s="173"/>
      <c r="G336" s="173"/>
      <c r="H336" s="173"/>
      <c r="I336" s="173"/>
      <c r="J336" s="173"/>
      <c r="K336" s="173"/>
      <c r="L336" s="173"/>
      <c r="M336" s="173"/>
      <c r="N336" s="173"/>
      <c r="O336" s="173"/>
      <c r="P336" s="173"/>
      <c r="Q336" s="173"/>
      <c r="R336" s="173"/>
      <c r="S336" s="173"/>
      <c r="T336" s="173"/>
      <c r="U336" s="173"/>
      <c r="V336" s="173"/>
      <c r="W336" s="173"/>
      <c r="X336" s="173"/>
      <c r="Y336" s="173"/>
      <c r="Z336" s="518"/>
      <c r="AA336" s="420"/>
      <c r="AB336" s="420"/>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420"/>
      <c r="AX336" s="420"/>
      <c r="AY336" s="173"/>
      <c r="AZ336" s="173"/>
      <c r="BB336" s="470">
        <f t="shared" ref="BB336:BB349" si="107">SUM(E336:AZ336)</f>
        <v>0</v>
      </c>
      <c r="BC336" s="476">
        <f t="shared" ref="BC336:BC349" si="108">+BB336+D336</f>
        <v>0</v>
      </c>
      <c r="BD336" s="444"/>
      <c r="BF336" s="336"/>
    </row>
    <row r="337" spans="2:58" hidden="1" outlineLevel="1" x14ac:dyDescent="0.35">
      <c r="B337" s="464" t="s">
        <v>60</v>
      </c>
      <c r="C337" s="516"/>
      <c r="D337" s="470"/>
      <c r="E337" s="471"/>
      <c r="F337" s="472"/>
      <c r="G337" s="472"/>
      <c r="H337" s="472"/>
      <c r="I337" s="472"/>
      <c r="J337" s="472"/>
      <c r="K337" s="472"/>
      <c r="L337" s="472"/>
      <c r="M337" s="472"/>
      <c r="N337" s="472"/>
      <c r="O337" s="472"/>
      <c r="P337" s="472"/>
      <c r="Q337" s="472"/>
      <c r="R337" s="472"/>
      <c r="S337" s="472"/>
      <c r="T337" s="472"/>
      <c r="U337" s="472"/>
      <c r="V337" s="472"/>
      <c r="W337" s="472"/>
      <c r="X337" s="472"/>
      <c r="Y337" s="472"/>
      <c r="Z337" s="518"/>
      <c r="AA337" s="471"/>
      <c r="AB337" s="471"/>
      <c r="AC337" s="472"/>
      <c r="AD337" s="472"/>
      <c r="AE337" s="472"/>
      <c r="AF337" s="472"/>
      <c r="AG337" s="472"/>
      <c r="AH337" s="472"/>
      <c r="AI337" s="472"/>
      <c r="AJ337" s="472"/>
      <c r="AK337" s="472"/>
      <c r="AL337" s="472"/>
      <c r="AM337" s="472"/>
      <c r="AN337" s="472"/>
      <c r="AO337" s="472"/>
      <c r="AP337" s="472"/>
      <c r="AQ337" s="472"/>
      <c r="AR337" s="472"/>
      <c r="AS337" s="472"/>
      <c r="AT337" s="472"/>
      <c r="AU337" s="472"/>
      <c r="AV337" s="472"/>
      <c r="AW337" s="471"/>
      <c r="AX337" s="471"/>
      <c r="AY337" s="472"/>
      <c r="AZ337" s="472"/>
      <c r="BB337" s="470">
        <f t="shared" si="107"/>
        <v>0</v>
      </c>
      <c r="BC337" s="470">
        <f t="shared" si="108"/>
        <v>0</v>
      </c>
      <c r="BD337" s="444"/>
      <c r="BF337" s="336"/>
    </row>
    <row r="338" spans="2:58" hidden="1" outlineLevel="1" x14ac:dyDescent="0.35">
      <c r="B338" s="464" t="s">
        <v>61</v>
      </c>
      <c r="C338" s="516"/>
      <c r="D338" s="470"/>
      <c r="E338" s="471"/>
      <c r="F338" s="472"/>
      <c r="G338" s="472"/>
      <c r="H338" s="472"/>
      <c r="I338" s="472"/>
      <c r="J338" s="472"/>
      <c r="K338" s="472"/>
      <c r="L338" s="472"/>
      <c r="M338" s="472"/>
      <c r="N338" s="472"/>
      <c r="O338" s="472"/>
      <c r="P338" s="472"/>
      <c r="Q338" s="472"/>
      <c r="R338" s="472"/>
      <c r="S338" s="472"/>
      <c r="T338" s="472"/>
      <c r="U338" s="472"/>
      <c r="V338" s="472"/>
      <c r="W338" s="472"/>
      <c r="X338" s="472"/>
      <c r="Y338" s="472"/>
      <c r="Z338" s="518"/>
      <c r="AA338" s="471"/>
      <c r="AB338" s="471"/>
      <c r="AC338" s="472"/>
      <c r="AD338" s="472"/>
      <c r="AE338" s="472"/>
      <c r="AF338" s="472"/>
      <c r="AG338" s="472"/>
      <c r="AH338" s="472"/>
      <c r="AI338" s="472"/>
      <c r="AJ338" s="472"/>
      <c r="AK338" s="472"/>
      <c r="AL338" s="472"/>
      <c r="AM338" s="472"/>
      <c r="AN338" s="472"/>
      <c r="AO338" s="472"/>
      <c r="AP338" s="472"/>
      <c r="AQ338" s="472"/>
      <c r="AR338" s="472"/>
      <c r="AS338" s="472"/>
      <c r="AT338" s="472"/>
      <c r="AU338" s="472"/>
      <c r="AV338" s="472"/>
      <c r="AW338" s="471"/>
      <c r="AX338" s="471"/>
      <c r="AY338" s="472"/>
      <c r="AZ338" s="472"/>
      <c r="BB338" s="470">
        <f t="shared" si="107"/>
        <v>0</v>
      </c>
      <c r="BC338" s="470">
        <f t="shared" si="108"/>
        <v>0</v>
      </c>
      <c r="BD338" s="444"/>
      <c r="BF338" s="336"/>
    </row>
    <row r="339" spans="2:58" hidden="1" outlineLevel="1" x14ac:dyDescent="0.35">
      <c r="B339" s="464" t="s">
        <v>62</v>
      </c>
      <c r="C339" s="516"/>
      <c r="D339" s="470"/>
      <c r="E339" s="471">
        <f>'Common Adj'!$O$64</f>
        <v>0</v>
      </c>
      <c r="F339" s="471"/>
      <c r="G339" s="471"/>
      <c r="H339" s="471"/>
      <c r="I339" s="471"/>
      <c r="J339" s="472"/>
      <c r="K339" s="472"/>
      <c r="L339" s="472"/>
      <c r="M339" s="472"/>
      <c r="N339" s="472"/>
      <c r="O339" s="472"/>
      <c r="P339" s="472"/>
      <c r="Q339" s="472"/>
      <c r="R339" s="472"/>
      <c r="S339" s="472"/>
      <c r="T339" s="472"/>
      <c r="U339" s="472"/>
      <c r="V339" s="472"/>
      <c r="W339" s="472"/>
      <c r="X339" s="472"/>
      <c r="Y339" s="472"/>
      <c r="Z339" s="518"/>
      <c r="AA339" s="471"/>
      <c r="AB339" s="471"/>
      <c r="AC339" s="472"/>
      <c r="AD339" s="472"/>
      <c r="AE339" s="472"/>
      <c r="AF339" s="472"/>
      <c r="AG339" s="472"/>
      <c r="AH339" s="472"/>
      <c r="AI339" s="472"/>
      <c r="AJ339" s="472"/>
      <c r="AK339" s="472"/>
      <c r="AL339" s="472"/>
      <c r="AM339" s="472"/>
      <c r="AN339" s="472"/>
      <c r="AO339" s="472"/>
      <c r="AP339" s="472"/>
      <c r="AQ339" s="472"/>
      <c r="AR339" s="472"/>
      <c r="AS339" s="472"/>
      <c r="AT339" s="472"/>
      <c r="AU339" s="472"/>
      <c r="AV339" s="472"/>
      <c r="AW339" s="471"/>
      <c r="AX339" s="471"/>
      <c r="AY339" s="472"/>
      <c r="AZ339" s="472"/>
      <c r="BB339" s="470">
        <f t="shared" si="107"/>
        <v>0</v>
      </c>
      <c r="BC339" s="470">
        <f t="shared" si="108"/>
        <v>0</v>
      </c>
      <c r="BD339" s="444"/>
      <c r="BF339" s="336"/>
    </row>
    <row r="340" spans="2:58" hidden="1" outlineLevel="1" x14ac:dyDescent="0.35">
      <c r="B340" s="464" t="s">
        <v>63</v>
      </c>
      <c r="C340" s="516"/>
      <c r="D340" s="470"/>
      <c r="E340" s="471"/>
      <c r="F340" s="471"/>
      <c r="G340" s="471"/>
      <c r="H340" s="471"/>
      <c r="I340" s="471"/>
      <c r="J340" s="472"/>
      <c r="K340" s="472"/>
      <c r="L340" s="472"/>
      <c r="M340" s="472"/>
      <c r="N340" s="472"/>
      <c r="O340" s="472"/>
      <c r="P340" s="472"/>
      <c r="Q340" s="472"/>
      <c r="R340" s="472"/>
      <c r="S340" s="472"/>
      <c r="T340" s="472"/>
      <c r="U340" s="472"/>
      <c r="V340" s="472"/>
      <c r="W340" s="472"/>
      <c r="X340" s="472"/>
      <c r="Y340" s="472"/>
      <c r="Z340" s="518"/>
      <c r="AA340" s="471"/>
      <c r="AB340" s="471"/>
      <c r="AC340" s="472"/>
      <c r="AD340" s="472"/>
      <c r="AE340" s="472"/>
      <c r="AF340" s="472"/>
      <c r="AG340" s="472"/>
      <c r="AH340" s="472"/>
      <c r="AI340" s="472"/>
      <c r="AJ340" s="472"/>
      <c r="AK340" s="472"/>
      <c r="AL340" s="472"/>
      <c r="AM340" s="472"/>
      <c r="AN340" s="472"/>
      <c r="AO340" s="472"/>
      <c r="AP340" s="472"/>
      <c r="AQ340" s="472"/>
      <c r="AR340" s="472"/>
      <c r="AS340" s="472"/>
      <c r="AT340" s="472"/>
      <c r="AU340" s="472"/>
      <c r="AV340" s="472"/>
      <c r="AW340" s="471"/>
      <c r="AX340" s="471"/>
      <c r="AY340" s="472"/>
      <c r="AZ340" s="472"/>
      <c r="BB340" s="470">
        <f t="shared" si="107"/>
        <v>0</v>
      </c>
      <c r="BC340" s="470">
        <f t="shared" si="108"/>
        <v>0</v>
      </c>
      <c r="BD340" s="444"/>
      <c r="BF340" s="336"/>
    </row>
    <row r="341" spans="2:58" hidden="1" outlineLevel="1" x14ac:dyDescent="0.35">
      <c r="B341" s="464" t="s">
        <v>64</v>
      </c>
      <c r="C341" s="516"/>
      <c r="D341" s="470"/>
      <c r="E341" s="471"/>
      <c r="F341" s="471"/>
      <c r="G341" s="471"/>
      <c r="H341" s="471"/>
      <c r="I341" s="471"/>
      <c r="J341" s="472"/>
      <c r="K341" s="472"/>
      <c r="L341" s="472"/>
      <c r="M341" s="472"/>
      <c r="N341" s="472"/>
      <c r="O341" s="472"/>
      <c r="P341" s="472"/>
      <c r="Q341" s="472"/>
      <c r="R341" s="472"/>
      <c r="S341" s="472"/>
      <c r="T341" s="472"/>
      <c r="U341" s="511"/>
      <c r="V341" s="472"/>
      <c r="W341" s="472"/>
      <c r="X341" s="472"/>
      <c r="Y341" s="472"/>
      <c r="Z341" s="518"/>
      <c r="AA341" s="471"/>
      <c r="AB341" s="471"/>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1"/>
      <c r="AX341" s="471"/>
      <c r="AY341" s="472"/>
      <c r="AZ341" s="472"/>
      <c r="BB341" s="470">
        <f t="shared" si="107"/>
        <v>0</v>
      </c>
      <c r="BC341" s="470">
        <f t="shared" si="108"/>
        <v>0</v>
      </c>
      <c r="BD341" s="444"/>
      <c r="BF341" s="336"/>
    </row>
    <row r="342" spans="2:58" hidden="1" outlineLevel="1" x14ac:dyDescent="0.35">
      <c r="B342" s="464" t="s">
        <v>65</v>
      </c>
      <c r="C342" s="516"/>
      <c r="D342" s="470"/>
      <c r="E342" s="471">
        <f>'Common Adj'!$O$65</f>
        <v>0</v>
      </c>
      <c r="F342" s="471"/>
      <c r="G342" s="471"/>
      <c r="H342" s="471"/>
      <c r="I342" s="471"/>
      <c r="J342" s="472"/>
      <c r="K342" s="472"/>
      <c r="L342" s="472"/>
      <c r="M342" s="472"/>
      <c r="N342" s="472"/>
      <c r="O342" s="472"/>
      <c r="P342" s="472"/>
      <c r="Q342" s="472"/>
      <c r="R342" s="472"/>
      <c r="S342" s="472"/>
      <c r="T342" s="472"/>
      <c r="U342" s="472"/>
      <c r="V342" s="472"/>
      <c r="W342" s="472"/>
      <c r="X342" s="472"/>
      <c r="Y342" s="472"/>
      <c r="Z342" s="518"/>
      <c r="AA342" s="471"/>
      <c r="AB342" s="471"/>
      <c r="AC342" s="472"/>
      <c r="AD342" s="472"/>
      <c r="AE342" s="472"/>
      <c r="AF342" s="472"/>
      <c r="AG342" s="472"/>
      <c r="AH342" s="472"/>
      <c r="AI342" s="472"/>
      <c r="AJ342" s="472"/>
      <c r="AK342" s="472"/>
      <c r="AL342" s="472"/>
      <c r="AM342" s="472"/>
      <c r="AN342" s="472"/>
      <c r="AO342" s="472"/>
      <c r="AP342" s="472"/>
      <c r="AQ342" s="472"/>
      <c r="AR342" s="472"/>
      <c r="AS342" s="472"/>
      <c r="AT342" s="472"/>
      <c r="AU342" s="472"/>
      <c r="AV342" s="472"/>
      <c r="AW342" s="471"/>
      <c r="AX342" s="471"/>
      <c r="AY342" s="472"/>
      <c r="AZ342" s="472"/>
      <c r="BB342" s="470">
        <f t="shared" si="107"/>
        <v>0</v>
      </c>
      <c r="BC342" s="470">
        <f t="shared" si="108"/>
        <v>0</v>
      </c>
      <c r="BD342" s="444"/>
      <c r="BF342" s="336"/>
    </row>
    <row r="343" spans="2:58" hidden="1" outlineLevel="1" x14ac:dyDescent="0.35">
      <c r="B343" s="464" t="s">
        <v>66</v>
      </c>
      <c r="C343" s="516"/>
      <c r="D343" s="470"/>
      <c r="E343" s="341"/>
      <c r="F343" s="341"/>
      <c r="G343" s="341"/>
      <c r="H343" s="341"/>
      <c r="I343" s="341"/>
      <c r="Y343" s="472"/>
      <c r="Z343" s="518"/>
      <c r="AA343" s="471"/>
      <c r="AB343" s="341"/>
      <c r="AD343" s="265"/>
      <c r="AE343" s="265"/>
      <c r="AF343" s="265"/>
      <c r="AG343" s="265"/>
      <c r="AH343" s="265"/>
      <c r="AI343" s="265"/>
      <c r="AJ343" s="265"/>
      <c r="AK343" s="265"/>
      <c r="AL343" s="265"/>
      <c r="AM343" s="265"/>
      <c r="AN343" s="265"/>
      <c r="AO343" s="265"/>
      <c r="AS343" s="329"/>
      <c r="AT343" s="173"/>
      <c r="AW343" s="471"/>
      <c r="AX343" s="341"/>
      <c r="BB343" s="470">
        <f t="shared" si="107"/>
        <v>0</v>
      </c>
      <c r="BC343" s="470">
        <f t="shared" si="108"/>
        <v>0</v>
      </c>
      <c r="BD343" s="444"/>
      <c r="BF343" s="336"/>
    </row>
    <row r="344" spans="2:58" hidden="1" outlineLevel="1" x14ac:dyDescent="0.35">
      <c r="B344" s="464" t="s">
        <v>67</v>
      </c>
      <c r="C344" s="516"/>
      <c r="D344" s="470"/>
      <c r="E344" s="471"/>
      <c r="F344" s="471"/>
      <c r="G344" s="471"/>
      <c r="H344" s="471"/>
      <c r="I344" s="471"/>
      <c r="J344" s="472"/>
      <c r="K344" s="472"/>
      <c r="L344" s="472"/>
      <c r="M344" s="472"/>
      <c r="N344" s="472"/>
      <c r="O344" s="472"/>
      <c r="P344" s="472"/>
      <c r="Q344" s="472"/>
      <c r="R344" s="472"/>
      <c r="S344" s="472"/>
      <c r="T344" s="472"/>
      <c r="U344" s="472"/>
      <c r="V344" s="472"/>
      <c r="W344" s="472"/>
      <c r="X344" s="472"/>
      <c r="Y344" s="472"/>
      <c r="Z344" s="720"/>
      <c r="AA344" s="471"/>
      <c r="AB344" s="471"/>
      <c r="AC344" s="472"/>
      <c r="AD344" s="472"/>
      <c r="AE344" s="472"/>
      <c r="AF344" s="472"/>
      <c r="AG344" s="472"/>
      <c r="AH344" s="472"/>
      <c r="AI344" s="472"/>
      <c r="AJ344" s="472"/>
      <c r="AK344" s="472"/>
      <c r="AL344" s="472"/>
      <c r="AM344" s="472"/>
      <c r="AN344" s="472"/>
      <c r="AO344" s="472"/>
      <c r="AP344" s="472"/>
      <c r="AQ344" s="472"/>
      <c r="AR344" s="472"/>
      <c r="AS344" s="472"/>
      <c r="AT344" s="472"/>
      <c r="AU344" s="472"/>
      <c r="AV344" s="472"/>
      <c r="AW344" s="471"/>
      <c r="AX344" s="471"/>
      <c r="AY344" s="472"/>
      <c r="AZ344" s="472"/>
      <c r="BB344" s="470">
        <f t="shared" si="107"/>
        <v>0</v>
      </c>
      <c r="BC344" s="470">
        <f t="shared" si="108"/>
        <v>0</v>
      </c>
      <c r="BD344" s="444"/>
      <c r="BF344" s="336"/>
    </row>
    <row r="345" spans="2:58" hidden="1" outlineLevel="1" x14ac:dyDescent="0.35">
      <c r="B345" s="480" t="s">
        <v>68</v>
      </c>
      <c r="C345" s="516"/>
      <c r="D345" s="470"/>
      <c r="E345" s="471"/>
      <c r="F345" s="471"/>
      <c r="G345" s="471"/>
      <c r="H345" s="471"/>
      <c r="I345" s="471"/>
      <c r="J345" s="472"/>
      <c r="K345" s="472"/>
      <c r="L345" s="472"/>
      <c r="M345" s="472"/>
      <c r="N345" s="472"/>
      <c r="O345" s="472"/>
      <c r="P345" s="472"/>
      <c r="Q345" s="472"/>
      <c r="R345" s="472"/>
      <c r="S345" s="472"/>
      <c r="T345" s="472"/>
      <c r="U345" s="472"/>
      <c r="V345" s="472"/>
      <c r="W345" s="472"/>
      <c r="X345" s="472"/>
      <c r="Y345" s="472"/>
      <c r="Z345" s="720"/>
      <c r="AA345" s="471"/>
      <c r="AB345" s="471"/>
      <c r="AC345" s="472"/>
      <c r="AD345" s="472"/>
      <c r="AE345" s="472"/>
      <c r="AF345" s="472"/>
      <c r="AG345" s="472"/>
      <c r="AH345" s="472"/>
      <c r="AI345" s="472"/>
      <c r="AJ345" s="472"/>
      <c r="AK345" s="472"/>
      <c r="AL345" s="472"/>
      <c r="AM345" s="472"/>
      <c r="AN345" s="472"/>
      <c r="AO345" s="472"/>
      <c r="AP345" s="472"/>
      <c r="AQ345" s="472"/>
      <c r="AR345" s="472"/>
      <c r="AS345" s="472"/>
      <c r="AT345" s="472"/>
      <c r="AU345" s="472"/>
      <c r="AV345" s="472"/>
      <c r="AW345" s="471"/>
      <c r="AX345" s="471"/>
      <c r="AY345" s="472"/>
      <c r="AZ345" s="472"/>
      <c r="BB345" s="470">
        <f t="shared" si="107"/>
        <v>0</v>
      </c>
      <c r="BC345" s="470">
        <f t="shared" si="108"/>
        <v>0</v>
      </c>
      <c r="BD345" s="444"/>
      <c r="BF345" s="336"/>
    </row>
    <row r="346" spans="2:58" hidden="1" outlineLevel="1" x14ac:dyDescent="0.35">
      <c r="B346" s="464" t="s">
        <v>69</v>
      </c>
      <c r="C346" s="516"/>
      <c r="D346" s="470"/>
      <c r="E346" s="471"/>
      <c r="F346" s="471"/>
      <c r="G346" s="471"/>
      <c r="H346" s="471"/>
      <c r="I346" s="471"/>
      <c r="J346" s="472"/>
      <c r="K346" s="472"/>
      <c r="L346" s="472"/>
      <c r="M346" s="472"/>
      <c r="N346" s="472"/>
      <c r="O346" s="472"/>
      <c r="P346" s="472"/>
      <c r="Q346" s="472"/>
      <c r="R346" s="472"/>
      <c r="S346" s="472"/>
      <c r="T346" s="472"/>
      <c r="U346" s="472"/>
      <c r="V346" s="472"/>
      <c r="W346" s="472"/>
      <c r="X346" s="472"/>
      <c r="Y346" s="472"/>
      <c r="Z346" s="518"/>
      <c r="AA346" s="471"/>
      <c r="AB346" s="471"/>
      <c r="AC346" s="472"/>
      <c r="AD346" s="472"/>
      <c r="AE346" s="472"/>
      <c r="AF346" s="472"/>
      <c r="AG346" s="472"/>
      <c r="AH346" s="472"/>
      <c r="AI346" s="472"/>
      <c r="AJ346" s="472"/>
      <c r="AK346" s="472"/>
      <c r="AL346" s="472"/>
      <c r="AM346" s="472"/>
      <c r="AN346" s="472"/>
      <c r="AO346" s="472"/>
      <c r="AP346" s="472"/>
      <c r="AQ346" s="472"/>
      <c r="AR346" s="472"/>
      <c r="AS346" s="472"/>
      <c r="AT346" s="472"/>
      <c r="AU346" s="472"/>
      <c r="AV346" s="511"/>
      <c r="AW346" s="471"/>
      <c r="AX346" s="471"/>
      <c r="AY346" s="472"/>
      <c r="AZ346" s="472"/>
      <c r="BB346" s="470">
        <f t="shared" si="107"/>
        <v>0</v>
      </c>
      <c r="BC346" s="470">
        <f t="shared" si="108"/>
        <v>0</v>
      </c>
      <c r="BD346" s="444"/>
      <c r="BF346" s="336"/>
    </row>
    <row r="347" spans="2:58" hidden="1" outlineLevel="1" x14ac:dyDescent="0.35">
      <c r="B347" s="464" t="s">
        <v>70</v>
      </c>
      <c r="C347" s="516"/>
      <c r="D347" s="470"/>
      <c r="E347" s="471">
        <f>'Common Adj'!$O$66</f>
        <v>0</v>
      </c>
      <c r="F347" s="471"/>
      <c r="G347" s="471"/>
      <c r="H347" s="471"/>
      <c r="I347" s="471"/>
      <c r="J347" s="472"/>
      <c r="K347" s="472"/>
      <c r="L347" s="472"/>
      <c r="M347" s="472"/>
      <c r="N347" s="472"/>
      <c r="O347" s="472"/>
      <c r="P347" s="472"/>
      <c r="Q347" s="472"/>
      <c r="R347" s="472"/>
      <c r="S347" s="472"/>
      <c r="T347" s="472"/>
      <c r="U347" s="472"/>
      <c r="V347" s="472"/>
      <c r="W347" s="472"/>
      <c r="X347" s="472"/>
      <c r="Y347" s="472"/>
      <c r="Z347" s="720"/>
      <c r="AA347" s="471"/>
      <c r="AB347" s="471"/>
      <c r="AC347" s="472"/>
      <c r="AD347" s="472"/>
      <c r="AE347" s="472"/>
      <c r="AF347" s="472"/>
      <c r="AG347" s="472"/>
      <c r="AH347" s="472"/>
      <c r="AI347" s="472"/>
      <c r="AJ347" s="472"/>
      <c r="AK347" s="472"/>
      <c r="AL347" s="472"/>
      <c r="AM347" s="472"/>
      <c r="AN347" s="472"/>
      <c r="AO347" s="472"/>
      <c r="AP347" s="472"/>
      <c r="AQ347" s="472"/>
      <c r="AR347" s="472"/>
      <c r="AS347" s="472"/>
      <c r="AT347" s="472"/>
      <c r="AU347" s="472"/>
      <c r="AV347" s="472"/>
      <c r="AW347" s="471"/>
      <c r="AX347" s="471"/>
      <c r="AY347" s="472"/>
      <c r="AZ347" s="472"/>
      <c r="BB347" s="470">
        <f t="shared" si="107"/>
        <v>0</v>
      </c>
      <c r="BC347" s="470">
        <f t="shared" si="108"/>
        <v>0</v>
      </c>
      <c r="BD347" s="444"/>
      <c r="BF347" s="336"/>
    </row>
    <row r="348" spans="2:58" hidden="1" outlineLevel="1" x14ac:dyDescent="0.35">
      <c r="B348" s="464" t="s">
        <v>71</v>
      </c>
      <c r="C348" s="516"/>
      <c r="D348" s="470"/>
      <c r="E348" s="471">
        <f>'Common Adj'!$O$70</f>
        <v>0</v>
      </c>
      <c r="F348" s="471"/>
      <c r="G348" s="471"/>
      <c r="H348" s="471"/>
      <c r="I348" s="471">
        <f>'Common Adj'!CI23</f>
        <v>0</v>
      </c>
      <c r="J348" s="472"/>
      <c r="K348" s="472"/>
      <c r="L348" s="472"/>
      <c r="M348" s="472"/>
      <c r="N348" s="472"/>
      <c r="O348" s="472"/>
      <c r="P348" s="472"/>
      <c r="Q348" s="472"/>
      <c r="R348" s="472"/>
      <c r="S348" s="472"/>
      <c r="T348" s="472"/>
      <c r="U348" s="472"/>
      <c r="V348" s="472"/>
      <c r="W348" s="472"/>
      <c r="X348" s="472"/>
      <c r="Y348" s="472"/>
      <c r="Z348" s="720"/>
      <c r="AA348" s="471"/>
      <c r="AB348" s="471"/>
      <c r="AC348" s="472"/>
      <c r="AD348" s="472"/>
      <c r="AE348" s="472"/>
      <c r="AF348" s="472"/>
      <c r="AG348" s="472"/>
      <c r="AH348" s="472"/>
      <c r="AI348" s="511"/>
      <c r="AJ348" s="511"/>
      <c r="AK348" s="511"/>
      <c r="AL348" s="511"/>
      <c r="AM348" s="511"/>
      <c r="AN348" s="511"/>
      <c r="AO348" s="511"/>
      <c r="AP348" s="472"/>
      <c r="AQ348" s="472"/>
      <c r="AR348" s="472"/>
      <c r="AS348" s="472"/>
      <c r="AT348" s="481"/>
      <c r="AU348" s="472"/>
      <c r="AV348" s="511"/>
      <c r="AW348" s="471"/>
      <c r="AX348" s="471"/>
      <c r="AY348" s="472"/>
      <c r="AZ348" s="472"/>
      <c r="BB348" s="470">
        <f t="shared" si="107"/>
        <v>0</v>
      </c>
      <c r="BC348" s="470">
        <f t="shared" si="108"/>
        <v>0</v>
      </c>
      <c r="BD348" s="444"/>
      <c r="BF348" s="336"/>
    </row>
    <row r="349" spans="2:58" hidden="1" outlineLevel="1" x14ac:dyDescent="0.35">
      <c r="B349" s="329" t="s">
        <v>72</v>
      </c>
      <c r="C349" s="516"/>
      <c r="D349" s="470"/>
      <c r="E349" s="471"/>
      <c r="F349" s="471"/>
      <c r="G349" s="471"/>
      <c r="H349" s="471"/>
      <c r="I349" s="471"/>
      <c r="J349" s="472"/>
      <c r="K349" s="472"/>
      <c r="L349" s="472"/>
      <c r="M349" s="472"/>
      <c r="N349" s="472"/>
      <c r="O349" s="472"/>
      <c r="P349" s="472"/>
      <c r="Q349" s="472"/>
      <c r="R349" s="472"/>
      <c r="S349" s="472"/>
      <c r="T349" s="472"/>
      <c r="U349" s="472"/>
      <c r="V349" s="472"/>
      <c r="W349" s="472"/>
      <c r="X349" s="472"/>
      <c r="Y349" s="472"/>
      <c r="Z349" s="471"/>
      <c r="AA349" s="471"/>
      <c r="AB349" s="471"/>
      <c r="AC349" s="472"/>
      <c r="AD349" s="472"/>
      <c r="AE349" s="472"/>
      <c r="AF349" s="472"/>
      <c r="AG349" s="472"/>
      <c r="AH349" s="472"/>
      <c r="AI349" s="472"/>
      <c r="AJ349" s="472"/>
      <c r="AK349" s="472"/>
      <c r="AL349" s="472"/>
      <c r="AM349" s="472"/>
      <c r="AN349" s="472"/>
      <c r="AO349" s="472"/>
      <c r="AP349" s="472"/>
      <c r="AQ349" s="472"/>
      <c r="AR349" s="472"/>
      <c r="AS349" s="472"/>
      <c r="AT349" s="472"/>
      <c r="AU349" s="472"/>
      <c r="AV349" s="472"/>
      <c r="AW349" s="471"/>
      <c r="AX349" s="471"/>
      <c r="AY349" s="472"/>
      <c r="AZ349" s="472"/>
      <c r="BB349" s="470">
        <f t="shared" si="107"/>
        <v>0</v>
      </c>
      <c r="BC349" s="470">
        <f t="shared" si="108"/>
        <v>0</v>
      </c>
      <c r="BD349" s="444"/>
      <c r="BF349" s="336"/>
    </row>
    <row r="350" spans="2:58" hidden="1" outlineLevel="1" x14ac:dyDescent="0.35">
      <c r="B350" s="464" t="s">
        <v>2</v>
      </c>
      <c r="C350" s="516"/>
      <c r="D350" s="477">
        <f>SUM(D334:D349)</f>
        <v>0</v>
      </c>
      <c r="E350" s="479">
        <f t="shared" ref="E350:BC350" si="109">SUM(E334:E349)</f>
        <v>0</v>
      </c>
      <c r="F350" s="479">
        <f t="shared" si="109"/>
        <v>0</v>
      </c>
      <c r="G350" s="479">
        <f t="shared" si="109"/>
        <v>0</v>
      </c>
      <c r="H350" s="479">
        <f t="shared" si="109"/>
        <v>0</v>
      </c>
      <c r="I350" s="479">
        <f t="shared" si="109"/>
        <v>0</v>
      </c>
      <c r="J350" s="479">
        <f t="shared" si="109"/>
        <v>0</v>
      </c>
      <c r="K350" s="479">
        <f t="shared" si="109"/>
        <v>0</v>
      </c>
      <c r="L350" s="479">
        <f t="shared" si="109"/>
        <v>0</v>
      </c>
      <c r="M350" s="479">
        <f t="shared" si="109"/>
        <v>0</v>
      </c>
      <c r="N350" s="479">
        <f t="shared" si="109"/>
        <v>0</v>
      </c>
      <c r="O350" s="479">
        <f t="shared" si="109"/>
        <v>0</v>
      </c>
      <c r="P350" s="479">
        <f t="shared" si="109"/>
        <v>0</v>
      </c>
      <c r="Q350" s="479">
        <f t="shared" si="109"/>
        <v>0</v>
      </c>
      <c r="R350" s="479">
        <f t="shared" si="109"/>
        <v>0</v>
      </c>
      <c r="S350" s="479">
        <f t="shared" si="109"/>
        <v>0</v>
      </c>
      <c r="T350" s="479">
        <f t="shared" si="109"/>
        <v>0</v>
      </c>
      <c r="U350" s="479">
        <f t="shared" si="109"/>
        <v>0</v>
      </c>
      <c r="V350" s="479">
        <f t="shared" si="109"/>
        <v>0</v>
      </c>
      <c r="W350" s="479">
        <f t="shared" si="109"/>
        <v>0</v>
      </c>
      <c r="X350" s="479">
        <f t="shared" si="109"/>
        <v>0</v>
      </c>
      <c r="Y350" s="479">
        <f t="shared" si="109"/>
        <v>0</v>
      </c>
      <c r="Z350" s="523">
        <f t="shared" si="109"/>
        <v>0</v>
      </c>
      <c r="AA350" s="478">
        <f t="shared" si="109"/>
        <v>0</v>
      </c>
      <c r="AB350" s="478">
        <f t="shared" si="109"/>
        <v>0</v>
      </c>
      <c r="AC350" s="479">
        <f t="shared" si="109"/>
        <v>0</v>
      </c>
      <c r="AD350" s="479">
        <f t="shared" si="109"/>
        <v>0</v>
      </c>
      <c r="AE350" s="479">
        <f t="shared" si="109"/>
        <v>0</v>
      </c>
      <c r="AF350" s="479">
        <f t="shared" si="109"/>
        <v>0</v>
      </c>
      <c r="AG350" s="479">
        <f t="shared" si="109"/>
        <v>0</v>
      </c>
      <c r="AH350" s="479">
        <f t="shared" si="109"/>
        <v>0</v>
      </c>
      <c r="AI350" s="523">
        <f t="shared" si="109"/>
        <v>0</v>
      </c>
      <c r="AJ350" s="523"/>
      <c r="AK350" s="523"/>
      <c r="AL350" s="523"/>
      <c r="AM350" s="523"/>
      <c r="AN350" s="523"/>
      <c r="AO350" s="523"/>
      <c r="AP350" s="479">
        <f t="shared" si="109"/>
        <v>0</v>
      </c>
      <c r="AQ350" s="479">
        <f t="shared" si="109"/>
        <v>0</v>
      </c>
      <c r="AR350" s="479">
        <f t="shared" si="109"/>
        <v>0</v>
      </c>
      <c r="AS350" s="479">
        <f t="shared" si="109"/>
        <v>0</v>
      </c>
      <c r="AT350" s="479"/>
      <c r="AU350" s="479"/>
      <c r="AV350" s="479"/>
      <c r="AW350" s="478"/>
      <c r="AX350" s="478"/>
      <c r="AY350" s="479"/>
      <c r="AZ350" s="479"/>
      <c r="BB350" s="477">
        <f t="shared" si="109"/>
        <v>0</v>
      </c>
      <c r="BC350" s="477">
        <f t="shared" si="109"/>
        <v>0</v>
      </c>
      <c r="BD350" s="444"/>
      <c r="BF350" s="336"/>
    </row>
    <row r="351" spans="2:58" hidden="1" outlineLevel="1" x14ac:dyDescent="0.35">
      <c r="C351" s="516"/>
      <c r="D351" s="482"/>
      <c r="E351" s="483"/>
      <c r="F351" s="483"/>
      <c r="G351" s="483"/>
      <c r="H351" s="483"/>
      <c r="I351" s="483"/>
      <c r="J351" s="483"/>
      <c r="K351" s="483"/>
      <c r="L351" s="483"/>
      <c r="M351" s="483"/>
      <c r="N351" s="483"/>
      <c r="O351" s="483"/>
      <c r="P351" s="483"/>
      <c r="Q351" s="483"/>
      <c r="R351" s="483"/>
      <c r="S351" s="483"/>
      <c r="T351" s="483"/>
      <c r="U351" s="483"/>
      <c r="V351" s="483"/>
      <c r="W351" s="483"/>
      <c r="X351" s="483"/>
      <c r="Y351" s="483"/>
      <c r="Z351" s="363"/>
      <c r="AA351" s="363"/>
      <c r="AB351" s="363"/>
      <c r="AC351" s="483"/>
      <c r="AD351" s="483"/>
      <c r="AE351" s="483"/>
      <c r="AF351" s="483"/>
      <c r="AG351" s="483"/>
      <c r="AH351" s="483"/>
      <c r="AI351" s="483"/>
      <c r="AJ351" s="483"/>
      <c r="AK351" s="483"/>
      <c r="AL351" s="483"/>
      <c r="AM351" s="483"/>
      <c r="AN351" s="483"/>
      <c r="AO351" s="483"/>
      <c r="AP351" s="483"/>
      <c r="AQ351" s="483"/>
      <c r="AR351" s="483"/>
      <c r="AS351" s="483"/>
      <c r="AT351" s="483"/>
      <c r="AU351" s="483"/>
      <c r="AV351" s="483"/>
      <c r="AW351" s="363"/>
      <c r="AX351" s="363"/>
      <c r="AY351" s="483"/>
      <c r="AZ351" s="483"/>
      <c r="BB351" s="482"/>
      <c r="BC351" s="482"/>
      <c r="BD351" s="444"/>
      <c r="BF351" s="336"/>
    </row>
    <row r="352" spans="2:58" ht="15" hidden="1" outlineLevel="1" thickBot="1" x14ac:dyDescent="0.4">
      <c r="B352" s="329" t="s">
        <v>4</v>
      </c>
      <c r="C352" s="516"/>
      <c r="D352" s="484">
        <f>+D325-D350</f>
        <v>0</v>
      </c>
      <c r="E352" s="486">
        <f t="shared" ref="E352:BC352" si="110">+E325-E350</f>
        <v>0</v>
      </c>
      <c r="F352" s="486">
        <f t="shared" si="110"/>
        <v>0</v>
      </c>
      <c r="G352" s="486">
        <f t="shared" si="110"/>
        <v>0</v>
      </c>
      <c r="H352" s="486">
        <f t="shared" si="110"/>
        <v>0</v>
      </c>
      <c r="I352" s="486">
        <f t="shared" si="110"/>
        <v>0</v>
      </c>
      <c r="J352" s="486">
        <f t="shared" si="110"/>
        <v>0</v>
      </c>
      <c r="K352" s="486">
        <f t="shared" si="110"/>
        <v>0</v>
      </c>
      <c r="L352" s="486">
        <f t="shared" si="110"/>
        <v>0</v>
      </c>
      <c r="M352" s="486">
        <f t="shared" si="110"/>
        <v>0</v>
      </c>
      <c r="N352" s="486">
        <f t="shared" si="110"/>
        <v>0</v>
      </c>
      <c r="O352" s="486">
        <f t="shared" si="110"/>
        <v>0</v>
      </c>
      <c r="P352" s="486">
        <f t="shared" si="110"/>
        <v>0</v>
      </c>
      <c r="Q352" s="486">
        <f t="shared" si="110"/>
        <v>0</v>
      </c>
      <c r="R352" s="486">
        <f t="shared" si="110"/>
        <v>0</v>
      </c>
      <c r="S352" s="486">
        <f t="shared" si="110"/>
        <v>0</v>
      </c>
      <c r="T352" s="486">
        <f t="shared" si="110"/>
        <v>0</v>
      </c>
      <c r="U352" s="486">
        <f t="shared" si="110"/>
        <v>0</v>
      </c>
      <c r="V352" s="486">
        <f t="shared" si="110"/>
        <v>0</v>
      </c>
      <c r="W352" s="486">
        <f t="shared" si="110"/>
        <v>0</v>
      </c>
      <c r="X352" s="486">
        <f t="shared" si="110"/>
        <v>0</v>
      </c>
      <c r="Y352" s="486">
        <f t="shared" si="110"/>
        <v>0</v>
      </c>
      <c r="Z352" s="524">
        <f t="shared" si="110"/>
        <v>0</v>
      </c>
      <c r="AA352" s="485">
        <f t="shared" si="110"/>
        <v>0</v>
      </c>
      <c r="AB352" s="485">
        <f t="shared" si="110"/>
        <v>0</v>
      </c>
      <c r="AC352" s="486">
        <f t="shared" si="110"/>
        <v>0</v>
      </c>
      <c r="AD352" s="486">
        <f t="shared" si="110"/>
        <v>0</v>
      </c>
      <c r="AE352" s="486">
        <f t="shared" si="110"/>
        <v>0</v>
      </c>
      <c r="AF352" s="486">
        <f t="shared" si="110"/>
        <v>0</v>
      </c>
      <c r="AG352" s="486">
        <f t="shared" si="110"/>
        <v>0</v>
      </c>
      <c r="AH352" s="486">
        <f t="shared" si="110"/>
        <v>0</v>
      </c>
      <c r="AI352" s="524">
        <f t="shared" si="110"/>
        <v>0</v>
      </c>
      <c r="AJ352" s="524"/>
      <c r="AK352" s="524"/>
      <c r="AL352" s="524"/>
      <c r="AM352" s="524"/>
      <c r="AN352" s="524"/>
      <c r="AO352" s="524"/>
      <c r="AP352" s="486">
        <f t="shared" si="110"/>
        <v>0</v>
      </c>
      <c r="AQ352" s="486">
        <f t="shared" si="110"/>
        <v>0</v>
      </c>
      <c r="AR352" s="486">
        <f t="shared" si="110"/>
        <v>0</v>
      </c>
      <c r="AS352" s="486">
        <f t="shared" si="110"/>
        <v>0</v>
      </c>
      <c r="AT352" s="486"/>
      <c r="AU352" s="486"/>
      <c r="AV352" s="486"/>
      <c r="AW352" s="485"/>
      <c r="AX352" s="485"/>
      <c r="AY352" s="486"/>
      <c r="AZ352" s="486"/>
      <c r="BB352" s="484">
        <f t="shared" si="110"/>
        <v>0</v>
      </c>
      <c r="BC352" s="484">
        <f t="shared" si="110"/>
        <v>0</v>
      </c>
      <c r="BD352" s="444"/>
      <c r="BF352" s="336"/>
    </row>
    <row r="353" spans="2:58" ht="12" hidden="1" customHeight="1" outlineLevel="1" thickTop="1" x14ac:dyDescent="0.35">
      <c r="B353"/>
      <c r="C353" s="516"/>
      <c r="D353" s="219"/>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416"/>
      <c r="AA353" s="416"/>
      <c r="AB353" s="4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416"/>
      <c r="AX353" s="416"/>
      <c r="AY353" s="116"/>
      <c r="AZ353" s="116"/>
      <c r="BB353" s="219"/>
      <c r="BC353" s="219"/>
      <c r="BD353" s="444"/>
      <c r="BF353" s="336"/>
    </row>
    <row r="354" spans="2:58" hidden="1" outlineLevel="1" x14ac:dyDescent="0.35">
      <c r="B354" s="464" t="s">
        <v>124</v>
      </c>
      <c r="C354" s="516"/>
      <c r="D354" s="476">
        <f t="shared" ref="D354:BC354" si="111">D365</f>
        <v>0</v>
      </c>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420"/>
      <c r="AA354" s="420"/>
      <c r="AB354" s="420"/>
      <c r="AC354" s="173"/>
      <c r="AD354" s="173"/>
      <c r="AE354" s="173"/>
      <c r="AF354" s="173"/>
      <c r="AG354" s="173"/>
      <c r="AH354" s="173"/>
      <c r="AI354" s="173"/>
      <c r="AJ354" s="173"/>
      <c r="AK354" s="173"/>
      <c r="AL354" s="173"/>
      <c r="AM354" s="173"/>
      <c r="AN354" s="173"/>
      <c r="AO354" s="173"/>
      <c r="AP354" s="173"/>
      <c r="AQ354" s="173">
        <f>AQ365</f>
        <v>0</v>
      </c>
      <c r="AR354" s="173"/>
      <c r="AS354" s="173"/>
      <c r="AT354" s="173"/>
      <c r="AU354" s="173"/>
      <c r="AV354" s="173"/>
      <c r="AW354" s="420"/>
      <c r="AX354" s="420"/>
      <c r="AY354" s="173"/>
      <c r="AZ354" s="173"/>
      <c r="BB354" s="476">
        <f t="shared" si="111"/>
        <v>0</v>
      </c>
      <c r="BC354" s="476">
        <f t="shared" si="111"/>
        <v>0</v>
      </c>
      <c r="BD354" s="444"/>
      <c r="BF354" s="336"/>
    </row>
    <row r="355" spans="2:58" hidden="1" outlineLevel="1" x14ac:dyDescent="0.35">
      <c r="C355" s="516"/>
      <c r="D355" s="466"/>
      <c r="Z355" s="341"/>
      <c r="AA355" s="341"/>
      <c r="AB355" s="341"/>
      <c r="AS355" s="329"/>
      <c r="AW355" s="341"/>
      <c r="AX355" s="341"/>
      <c r="BB355" s="466"/>
      <c r="BC355" s="466"/>
      <c r="BD355" s="444"/>
      <c r="BF355" s="336"/>
    </row>
    <row r="356" spans="2:58" hidden="1" outlineLevel="1" x14ac:dyDescent="0.35">
      <c r="B356" s="464" t="s">
        <v>125</v>
      </c>
      <c r="C356" s="516"/>
      <c r="D356" s="488" t="e">
        <f>+D352/D354</f>
        <v>#DIV/0!</v>
      </c>
      <c r="E356" s="472"/>
      <c r="F356" s="472"/>
      <c r="G356" s="472"/>
      <c r="H356" s="472"/>
      <c r="I356" s="472"/>
      <c r="J356" s="472"/>
      <c r="K356" s="472"/>
      <c r="L356" s="472"/>
      <c r="M356" s="472"/>
      <c r="N356" s="472"/>
      <c r="O356" s="472"/>
      <c r="P356" s="472"/>
      <c r="Q356" s="472"/>
      <c r="R356" s="472"/>
      <c r="S356" s="472"/>
      <c r="T356" s="472"/>
      <c r="U356" s="472"/>
      <c r="V356" s="472"/>
      <c r="W356" s="472"/>
      <c r="X356" s="472"/>
      <c r="Y356" s="472"/>
      <c r="Z356" s="471"/>
      <c r="AA356" s="471"/>
      <c r="AB356" s="471"/>
      <c r="AC356" s="472"/>
      <c r="AD356" s="472"/>
      <c r="AE356" s="472"/>
      <c r="AF356" s="472"/>
      <c r="AG356" s="472"/>
      <c r="AH356" s="472"/>
      <c r="AI356" s="472"/>
      <c r="AJ356" s="472"/>
      <c r="AK356" s="472"/>
      <c r="AL356" s="472"/>
      <c r="AM356" s="472"/>
      <c r="AN356" s="472"/>
      <c r="AO356" s="472"/>
      <c r="AP356" s="472"/>
      <c r="AQ356" s="472"/>
      <c r="AR356" s="472"/>
      <c r="AS356" s="472"/>
      <c r="AT356" s="472"/>
      <c r="AU356" s="472"/>
      <c r="AV356" s="472"/>
      <c r="AW356" s="471"/>
      <c r="AX356" s="471"/>
      <c r="AY356" s="472"/>
      <c r="AZ356" s="472"/>
      <c r="BB356" s="488"/>
      <c r="BC356" s="488"/>
      <c r="BD356" s="444"/>
      <c r="BF356" s="336"/>
    </row>
    <row r="357" spans="2:58" hidden="1" outlineLevel="1" x14ac:dyDescent="0.35">
      <c r="C357" s="516"/>
      <c r="D357" s="470"/>
      <c r="E357" s="472"/>
      <c r="F357" s="472"/>
      <c r="G357" s="472"/>
      <c r="H357" s="472"/>
      <c r="I357" s="472"/>
      <c r="J357" s="472"/>
      <c r="K357" s="472"/>
      <c r="L357" s="472"/>
      <c r="M357" s="472"/>
      <c r="N357" s="472"/>
      <c r="O357" s="472"/>
      <c r="P357" s="472"/>
      <c r="Q357" s="472"/>
      <c r="R357" s="472"/>
      <c r="S357" s="472"/>
      <c r="T357" s="472"/>
      <c r="U357" s="472"/>
      <c r="V357" s="472"/>
      <c r="W357" s="472"/>
      <c r="X357" s="472"/>
      <c r="Y357" s="472"/>
      <c r="Z357" s="471"/>
      <c r="AA357" s="471"/>
      <c r="AB357" s="471"/>
      <c r="AC357" s="472"/>
      <c r="AD357" s="472"/>
      <c r="AE357" s="472"/>
      <c r="AF357" s="472"/>
      <c r="AG357" s="472"/>
      <c r="AH357" s="472"/>
      <c r="AI357" s="472"/>
      <c r="AJ357" s="472"/>
      <c r="AK357" s="472"/>
      <c r="AL357" s="472"/>
      <c r="AM357" s="472"/>
      <c r="AN357" s="472"/>
      <c r="AO357" s="472"/>
      <c r="AP357" s="472"/>
      <c r="AQ357" s="472"/>
      <c r="AR357" s="472"/>
      <c r="AS357" s="472"/>
      <c r="AT357" s="472"/>
      <c r="AU357" s="472"/>
      <c r="AV357" s="472"/>
      <c r="AW357" s="471"/>
      <c r="AX357" s="471"/>
      <c r="AY357" s="472"/>
      <c r="AZ357" s="472"/>
      <c r="BB357" s="470"/>
      <c r="BC357" s="470"/>
      <c r="BD357" s="444"/>
      <c r="BF357" s="336"/>
    </row>
    <row r="358" spans="2:58" hidden="1" outlineLevel="1" x14ac:dyDescent="0.35">
      <c r="B358" s="329" t="s">
        <v>126</v>
      </c>
      <c r="C358" s="516"/>
      <c r="D358" s="470"/>
      <c r="E358" s="472"/>
      <c r="F358" s="472"/>
      <c r="G358" s="472"/>
      <c r="H358" s="472"/>
      <c r="I358" s="472"/>
      <c r="J358" s="472"/>
      <c r="K358" s="472"/>
      <c r="L358" s="472"/>
      <c r="M358" s="472"/>
      <c r="N358" s="472"/>
      <c r="O358" s="472"/>
      <c r="P358" s="472"/>
      <c r="Q358" s="472"/>
      <c r="R358" s="472"/>
      <c r="S358" s="472"/>
      <c r="T358" s="472"/>
      <c r="U358" s="472"/>
      <c r="V358" s="472"/>
      <c r="W358" s="472"/>
      <c r="X358" s="472"/>
      <c r="Y358" s="472"/>
      <c r="Z358" s="471"/>
      <c r="AA358" s="471"/>
      <c r="AB358" s="471"/>
      <c r="AC358" s="472"/>
      <c r="AD358" s="472"/>
      <c r="AE358" s="472"/>
      <c r="AF358" s="472"/>
      <c r="AG358" s="472"/>
      <c r="AH358" s="472"/>
      <c r="AI358" s="472"/>
      <c r="AJ358" s="472"/>
      <c r="AK358" s="472"/>
      <c r="AL358" s="472"/>
      <c r="AM358" s="472"/>
      <c r="AN358" s="472"/>
      <c r="AO358" s="472"/>
      <c r="AP358" s="472"/>
      <c r="AQ358" s="472"/>
      <c r="AR358" s="472"/>
      <c r="AS358" s="472"/>
      <c r="AT358" s="472"/>
      <c r="AU358" s="472"/>
      <c r="AV358" s="472"/>
      <c r="AW358" s="471"/>
      <c r="AX358" s="471"/>
      <c r="AY358" s="472"/>
      <c r="AZ358" s="472"/>
      <c r="BB358" s="470"/>
      <c r="BC358" s="470"/>
      <c r="BD358" s="444"/>
      <c r="BF358" s="336"/>
    </row>
    <row r="359" spans="2:58" hidden="1" outlineLevel="1" x14ac:dyDescent="0.35">
      <c r="B359" s="490" t="s">
        <v>20</v>
      </c>
      <c r="C359" s="516"/>
      <c r="D359" s="476"/>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420"/>
      <c r="AA359" s="420"/>
      <c r="AB359" s="420"/>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420"/>
      <c r="AX359" s="420"/>
      <c r="AY359" s="173"/>
      <c r="AZ359" s="173"/>
      <c r="BB359" s="476">
        <f t="shared" ref="BB359:BB364" si="112">SUM(E359:AZ359)</f>
        <v>0</v>
      </c>
      <c r="BC359" s="476">
        <f t="shared" ref="BC359:BC364" si="113">+BB359+D359</f>
        <v>0</v>
      </c>
      <c r="BD359" s="444"/>
      <c r="BF359" s="336"/>
    </row>
    <row r="360" spans="2:58" hidden="1" outlineLevel="1" x14ac:dyDescent="0.35">
      <c r="B360" s="490" t="s">
        <v>21</v>
      </c>
      <c r="C360" s="516"/>
      <c r="D360" s="470"/>
      <c r="E360" s="472"/>
      <c r="F360" s="472"/>
      <c r="G360" s="472"/>
      <c r="H360" s="472"/>
      <c r="I360" s="472"/>
      <c r="J360" s="472"/>
      <c r="K360" s="472"/>
      <c r="L360" s="472"/>
      <c r="M360" s="472"/>
      <c r="N360" s="472"/>
      <c r="O360" s="472"/>
      <c r="P360" s="472"/>
      <c r="Q360" s="472"/>
      <c r="R360" s="472"/>
      <c r="S360" s="472"/>
      <c r="T360" s="472"/>
      <c r="U360" s="472"/>
      <c r="V360" s="472"/>
      <c r="W360" s="472"/>
      <c r="X360" s="472"/>
      <c r="Y360" s="472"/>
      <c r="Z360" s="471"/>
      <c r="AA360" s="471"/>
      <c r="AB360" s="471"/>
      <c r="AC360" s="472"/>
      <c r="AD360" s="472"/>
      <c r="AE360" s="472"/>
      <c r="AF360" s="472"/>
      <c r="AG360" s="472"/>
      <c r="AH360" s="472"/>
      <c r="AI360" s="472"/>
      <c r="AJ360" s="472"/>
      <c r="AK360" s="472"/>
      <c r="AL360" s="472"/>
      <c r="AM360" s="472"/>
      <c r="AN360" s="472"/>
      <c r="AO360" s="472"/>
      <c r="AP360" s="472"/>
      <c r="AQ360" s="472"/>
      <c r="AR360" s="472"/>
      <c r="AS360" s="472"/>
      <c r="AT360" s="481"/>
      <c r="AU360" s="472"/>
      <c r="AV360" s="472"/>
      <c r="AW360" s="471"/>
      <c r="AX360" s="471"/>
      <c r="AY360" s="472"/>
      <c r="AZ360" s="472"/>
      <c r="BB360" s="470">
        <f t="shared" si="112"/>
        <v>0</v>
      </c>
      <c r="BC360" s="470">
        <f t="shared" si="113"/>
        <v>0</v>
      </c>
      <c r="BD360" s="444"/>
      <c r="BF360" s="336"/>
    </row>
    <row r="361" spans="2:58" hidden="1" outlineLevel="1" x14ac:dyDescent="0.35">
      <c r="B361" s="329" t="s">
        <v>127</v>
      </c>
      <c r="C361" s="516"/>
      <c r="D361" s="470"/>
      <c r="E361" s="472"/>
      <c r="F361" s="472"/>
      <c r="G361" s="472"/>
      <c r="H361" s="472"/>
      <c r="I361" s="472"/>
      <c r="J361" s="472"/>
      <c r="K361" s="472"/>
      <c r="L361" s="472"/>
      <c r="M361" s="472"/>
      <c r="N361" s="472"/>
      <c r="O361" s="472"/>
      <c r="P361" s="472"/>
      <c r="Q361" s="472"/>
      <c r="R361" s="472"/>
      <c r="S361" s="472"/>
      <c r="T361" s="472"/>
      <c r="U361" s="472"/>
      <c r="V361" s="472"/>
      <c r="W361" s="472"/>
      <c r="X361" s="472"/>
      <c r="Y361" s="472"/>
      <c r="Z361" s="471"/>
      <c r="AA361" s="471"/>
      <c r="AB361" s="471"/>
      <c r="AC361" s="472"/>
      <c r="AD361" s="472"/>
      <c r="AE361" s="472"/>
      <c r="AF361" s="472"/>
      <c r="AG361" s="472"/>
      <c r="AH361" s="472"/>
      <c r="AI361" s="472"/>
      <c r="AJ361" s="472"/>
      <c r="AK361" s="472"/>
      <c r="AL361" s="472"/>
      <c r="AM361" s="472"/>
      <c r="AN361" s="472"/>
      <c r="AO361" s="472"/>
      <c r="AP361" s="472"/>
      <c r="AQ361" s="472"/>
      <c r="AR361" s="472"/>
      <c r="AS361" s="472"/>
      <c r="AT361" s="481"/>
      <c r="AU361" s="472"/>
      <c r="AV361" s="472"/>
      <c r="AW361" s="471"/>
      <c r="AX361" s="471"/>
      <c r="AY361" s="472"/>
      <c r="AZ361" s="472"/>
      <c r="BB361" s="470">
        <f t="shared" si="112"/>
        <v>0</v>
      </c>
      <c r="BC361" s="470">
        <f t="shared" si="113"/>
        <v>0</v>
      </c>
      <c r="BD361" s="444"/>
      <c r="BF361" s="336"/>
    </row>
    <row r="362" spans="2:58" hidden="1" outlineLevel="1" x14ac:dyDescent="0.35">
      <c r="B362" s="329" t="s">
        <v>128</v>
      </c>
      <c r="C362" s="516"/>
      <c r="D362" s="470"/>
      <c r="E362" s="472"/>
      <c r="F362" s="472"/>
      <c r="G362" s="472"/>
      <c r="H362" s="472"/>
      <c r="I362" s="472"/>
      <c r="J362" s="472"/>
      <c r="K362" s="472"/>
      <c r="L362" s="472"/>
      <c r="M362" s="472"/>
      <c r="N362" s="472"/>
      <c r="O362" s="472"/>
      <c r="P362" s="472"/>
      <c r="Q362" s="472"/>
      <c r="R362" s="472"/>
      <c r="S362" s="472"/>
      <c r="T362" s="472"/>
      <c r="U362" s="472"/>
      <c r="V362" s="472"/>
      <c r="W362" s="472"/>
      <c r="X362" s="472"/>
      <c r="Z362" s="471"/>
      <c r="AA362" s="471"/>
      <c r="AB362" s="471"/>
      <c r="AC362" s="472"/>
      <c r="AD362" s="472"/>
      <c r="AE362" s="472"/>
      <c r="AF362" s="472"/>
      <c r="AG362" s="472"/>
      <c r="AH362" s="472"/>
      <c r="AI362" s="472"/>
      <c r="AJ362" s="472"/>
      <c r="AK362" s="472"/>
      <c r="AL362" s="472"/>
      <c r="AM362" s="472"/>
      <c r="AN362" s="472"/>
      <c r="AO362" s="472"/>
      <c r="AP362" s="472"/>
      <c r="AQ362" s="472"/>
      <c r="AR362" s="472"/>
      <c r="AS362" s="472"/>
      <c r="AT362" s="265"/>
      <c r="AU362" s="472"/>
      <c r="AV362" s="472"/>
      <c r="AW362" s="471"/>
      <c r="AX362" s="471"/>
      <c r="AY362" s="472"/>
      <c r="AZ362" s="472"/>
      <c r="BB362" s="470">
        <f t="shared" si="112"/>
        <v>0</v>
      </c>
      <c r="BC362" s="470">
        <f t="shared" si="113"/>
        <v>0</v>
      </c>
      <c r="BD362" s="444"/>
      <c r="BF362" s="336"/>
    </row>
    <row r="363" spans="2:58" hidden="1" outlineLevel="1" x14ac:dyDescent="0.35">
      <c r="B363" s="329" t="s">
        <v>129</v>
      </c>
      <c r="C363" s="516"/>
      <c r="D363" s="491"/>
      <c r="E363" s="472"/>
      <c r="F363" s="472"/>
      <c r="G363" s="472"/>
      <c r="H363" s="472"/>
      <c r="I363" s="472"/>
      <c r="J363" s="472"/>
      <c r="K363" s="472"/>
      <c r="L363" s="472"/>
      <c r="M363" s="472"/>
      <c r="N363" s="472"/>
      <c r="O363" s="472"/>
      <c r="P363" s="472"/>
      <c r="Q363" s="472"/>
      <c r="R363" s="472"/>
      <c r="S363" s="472"/>
      <c r="T363" s="472"/>
      <c r="U363" s="472"/>
      <c r="V363" s="472"/>
      <c r="W363" s="472"/>
      <c r="X363" s="472"/>
      <c r="Z363" s="471"/>
      <c r="AA363" s="471"/>
      <c r="AB363" s="471"/>
      <c r="AC363" s="472"/>
      <c r="AD363" s="472"/>
      <c r="AE363" s="472"/>
      <c r="AF363" s="472"/>
      <c r="AG363" s="472"/>
      <c r="AH363" s="472"/>
      <c r="AI363" s="472"/>
      <c r="AJ363" s="472"/>
      <c r="AK363" s="472"/>
      <c r="AL363" s="472"/>
      <c r="AM363" s="472"/>
      <c r="AN363" s="472"/>
      <c r="AO363" s="472"/>
      <c r="AP363" s="472"/>
      <c r="AQ363" s="472"/>
      <c r="AR363" s="472"/>
      <c r="AS363" s="472"/>
      <c r="AT363" s="472"/>
      <c r="AU363" s="472"/>
      <c r="AV363" s="472"/>
      <c r="AW363" s="471"/>
      <c r="AX363" s="471"/>
      <c r="AY363" s="472"/>
      <c r="AZ363" s="472"/>
      <c r="BB363" s="470">
        <f t="shared" si="112"/>
        <v>0</v>
      </c>
      <c r="BC363" s="470">
        <f t="shared" si="113"/>
        <v>0</v>
      </c>
      <c r="BD363" s="444"/>
      <c r="BF363" s="336"/>
    </row>
    <row r="364" spans="2:58" hidden="1" outlineLevel="1" x14ac:dyDescent="0.35">
      <c r="B364" s="329" t="s">
        <v>130</v>
      </c>
      <c r="C364" s="516"/>
      <c r="D364" s="470"/>
      <c r="E364" s="472"/>
      <c r="F364" s="472"/>
      <c r="G364" s="472"/>
      <c r="H364" s="472"/>
      <c r="I364" s="472"/>
      <c r="J364" s="472"/>
      <c r="K364" s="472"/>
      <c r="L364" s="472"/>
      <c r="M364" s="472"/>
      <c r="N364" s="472"/>
      <c r="O364" s="472"/>
      <c r="P364" s="472"/>
      <c r="Q364" s="472"/>
      <c r="R364" s="472"/>
      <c r="S364" s="472"/>
      <c r="T364" s="472"/>
      <c r="U364" s="472"/>
      <c r="V364" s="472"/>
      <c r="W364" s="472"/>
      <c r="X364" s="472"/>
      <c r="Y364" s="472"/>
      <c r="Z364" s="472"/>
      <c r="AA364" s="472"/>
      <c r="AB364" s="472"/>
      <c r="AC364" s="472"/>
      <c r="AD364" s="472"/>
      <c r="AE364" s="472"/>
      <c r="AF364" s="472"/>
      <c r="AG364" s="472"/>
      <c r="AH364" s="472"/>
      <c r="AI364" s="472"/>
      <c r="AJ364" s="472"/>
      <c r="AK364" s="472"/>
      <c r="AL364" s="472"/>
      <c r="AM364" s="472"/>
      <c r="AN364" s="472"/>
      <c r="AO364" s="472"/>
      <c r="AP364" s="472"/>
      <c r="AQ364" s="472"/>
      <c r="AR364" s="472"/>
      <c r="AS364" s="472"/>
      <c r="AT364" s="472"/>
      <c r="AU364" s="472"/>
      <c r="AV364" s="472"/>
      <c r="AW364" s="471"/>
      <c r="AX364" s="471"/>
      <c r="AY364" s="472"/>
      <c r="AZ364" s="472"/>
      <c r="BB364" s="470">
        <f t="shared" si="112"/>
        <v>0</v>
      </c>
      <c r="BC364" s="470">
        <f t="shared" si="113"/>
        <v>0</v>
      </c>
      <c r="BD364" s="444"/>
      <c r="BF364" s="336"/>
    </row>
    <row r="365" spans="2:58" ht="15" hidden="1" outlineLevel="1" thickBot="1" x14ac:dyDescent="0.4">
      <c r="B365" s="329" t="s">
        <v>22</v>
      </c>
      <c r="C365" s="516"/>
      <c r="D365" s="493">
        <f>SUM(D359:D364)</f>
        <v>0</v>
      </c>
      <c r="E365" s="494">
        <f t="shared" ref="E365:BC365" si="114">SUM(E359:E364)</f>
        <v>0</v>
      </c>
      <c r="F365" s="494">
        <f t="shared" si="114"/>
        <v>0</v>
      </c>
      <c r="G365" s="494">
        <f t="shared" si="114"/>
        <v>0</v>
      </c>
      <c r="H365" s="494">
        <f t="shared" si="114"/>
        <v>0</v>
      </c>
      <c r="I365" s="494">
        <f t="shared" si="114"/>
        <v>0</v>
      </c>
      <c r="J365" s="494">
        <f t="shared" si="114"/>
        <v>0</v>
      </c>
      <c r="K365" s="494">
        <f t="shared" si="114"/>
        <v>0</v>
      </c>
      <c r="L365" s="494">
        <f t="shared" si="114"/>
        <v>0</v>
      </c>
      <c r="M365" s="494">
        <f t="shared" si="114"/>
        <v>0</v>
      </c>
      <c r="N365" s="494">
        <f t="shared" si="114"/>
        <v>0</v>
      </c>
      <c r="O365" s="494">
        <f t="shared" si="114"/>
        <v>0</v>
      </c>
      <c r="P365" s="494">
        <f t="shared" si="114"/>
        <v>0</v>
      </c>
      <c r="Q365" s="494">
        <f t="shared" si="114"/>
        <v>0</v>
      </c>
      <c r="R365" s="494">
        <f t="shared" si="114"/>
        <v>0</v>
      </c>
      <c r="S365" s="494">
        <f t="shared" si="114"/>
        <v>0</v>
      </c>
      <c r="T365" s="494">
        <f t="shared" si="114"/>
        <v>0</v>
      </c>
      <c r="U365" s="494">
        <f t="shared" si="114"/>
        <v>0</v>
      </c>
      <c r="V365" s="494">
        <f t="shared" si="114"/>
        <v>0</v>
      </c>
      <c r="W365" s="494">
        <f t="shared" si="114"/>
        <v>0</v>
      </c>
      <c r="X365" s="494">
        <f t="shared" si="114"/>
        <v>0</v>
      </c>
      <c r="Y365" s="494">
        <f t="shared" si="114"/>
        <v>0</v>
      </c>
      <c r="Z365" s="494">
        <f t="shared" si="114"/>
        <v>0</v>
      </c>
      <c r="AA365" s="494">
        <f t="shared" si="114"/>
        <v>0</v>
      </c>
      <c r="AB365" s="494">
        <f t="shared" si="114"/>
        <v>0</v>
      </c>
      <c r="AC365" s="494">
        <f t="shared" si="114"/>
        <v>0</v>
      </c>
      <c r="AD365" s="494">
        <f t="shared" si="114"/>
        <v>0</v>
      </c>
      <c r="AE365" s="494">
        <f t="shared" si="114"/>
        <v>0</v>
      </c>
      <c r="AF365" s="494">
        <f t="shared" si="114"/>
        <v>0</v>
      </c>
      <c r="AG365" s="494">
        <f t="shared" si="114"/>
        <v>0</v>
      </c>
      <c r="AH365" s="494">
        <f t="shared" si="114"/>
        <v>0</v>
      </c>
      <c r="AI365" s="494">
        <f t="shared" si="114"/>
        <v>0</v>
      </c>
      <c r="AJ365" s="494"/>
      <c r="AK365" s="494"/>
      <c r="AL365" s="494"/>
      <c r="AM365" s="494"/>
      <c r="AN365" s="494"/>
      <c r="AO365" s="494"/>
      <c r="AP365" s="494">
        <f t="shared" si="114"/>
        <v>0</v>
      </c>
      <c r="AQ365" s="494">
        <f t="shared" si="114"/>
        <v>0</v>
      </c>
      <c r="AR365" s="494">
        <f t="shared" si="114"/>
        <v>0</v>
      </c>
      <c r="AS365" s="494">
        <f t="shared" si="114"/>
        <v>0</v>
      </c>
      <c r="AT365" s="494"/>
      <c r="AU365" s="494"/>
      <c r="AV365" s="494"/>
      <c r="AW365" s="519"/>
      <c r="AX365" s="519"/>
      <c r="AY365" s="494"/>
      <c r="AZ365" s="494"/>
      <c r="BB365" s="493">
        <f t="shared" si="114"/>
        <v>0</v>
      </c>
      <c r="BC365" s="493">
        <f t="shared" si="114"/>
        <v>0</v>
      </c>
      <c r="BD365" s="444"/>
      <c r="BF365" s="336"/>
    </row>
    <row r="366" spans="2:58" hidden="1" outlineLevel="1" x14ac:dyDescent="0.35">
      <c r="C366" s="516"/>
      <c r="D366" s="466"/>
      <c r="AS366" s="329"/>
      <c r="BB366" s="466"/>
      <c r="BC366" s="466"/>
      <c r="BD366" s="444"/>
      <c r="BF366" s="336"/>
    </row>
    <row r="367" spans="2:58" hidden="1" outlineLevel="1" x14ac:dyDescent="0.35">
      <c r="B367" s="329" t="s">
        <v>29</v>
      </c>
      <c r="C367" s="516"/>
      <c r="D367" s="496">
        <f>+'Def, COC, ConvF DPK-7 '!C13</f>
        <v>7.3575000000000002E-2</v>
      </c>
      <c r="E367" s="497">
        <f>+'Def, COC, ConvF DPK-7 '!D13</f>
        <v>7.3700000000000002E-2</v>
      </c>
      <c r="F367" s="497">
        <f>+'Def, COC, ConvF DPK-7 '!D13</f>
        <v>7.3700000000000002E-2</v>
      </c>
      <c r="G367" s="497">
        <f>+'Def, COC, ConvF DPK-7 '!D13</f>
        <v>7.3700000000000002E-2</v>
      </c>
      <c r="H367" s="497">
        <f>+'Def, COC, ConvF DPK-7 '!D13</f>
        <v>7.3700000000000002E-2</v>
      </c>
      <c r="I367" s="497">
        <f>+'Def, COC, ConvF DPK-7 '!D13</f>
        <v>7.3700000000000002E-2</v>
      </c>
      <c r="J367" s="497">
        <f>+'Def, COC, ConvF DPK-7 '!D13</f>
        <v>7.3700000000000002E-2</v>
      </c>
      <c r="K367" s="497">
        <f>+'Def, COC, ConvF DPK-7 '!D13</f>
        <v>7.3700000000000002E-2</v>
      </c>
      <c r="L367" s="497">
        <f>+'Def, COC, ConvF DPK-7 '!D13</f>
        <v>7.3700000000000002E-2</v>
      </c>
      <c r="M367" s="497">
        <f>+'Def, COC, ConvF DPK-7 '!D13</f>
        <v>7.3700000000000002E-2</v>
      </c>
      <c r="N367" s="497">
        <f>+'Def, COC, ConvF DPK-7 '!D13</f>
        <v>7.3700000000000002E-2</v>
      </c>
      <c r="O367" s="497">
        <f>+'Def, COC, ConvF DPK-7 '!D13</f>
        <v>7.3700000000000002E-2</v>
      </c>
      <c r="P367" s="497">
        <f>+'Def, COC, ConvF DPK-7 '!D13</f>
        <v>7.3700000000000002E-2</v>
      </c>
      <c r="Q367" s="497">
        <f>+'Def, COC, ConvF DPK-7 '!D13</f>
        <v>7.3700000000000002E-2</v>
      </c>
      <c r="R367" s="497">
        <f>+'Def, COC, ConvF DPK-7 '!D13</f>
        <v>7.3700000000000002E-2</v>
      </c>
      <c r="S367" s="497">
        <f>+'Def, COC, ConvF DPK-7 '!D13</f>
        <v>7.3700000000000002E-2</v>
      </c>
      <c r="T367" s="497">
        <f>+'Def, COC, ConvF DPK-7 '!D13</f>
        <v>7.3700000000000002E-2</v>
      </c>
      <c r="U367" s="497">
        <f>+'Def, COC, ConvF DPK-7 '!D13</f>
        <v>7.3700000000000002E-2</v>
      </c>
      <c r="V367" s="497">
        <f>+'Def, COC, ConvF DPK-7 '!D13</f>
        <v>7.3700000000000002E-2</v>
      </c>
      <c r="W367" s="497">
        <f>+'Def, COC, ConvF DPK-7 '!D13</f>
        <v>7.3700000000000002E-2</v>
      </c>
      <c r="X367" s="497">
        <f>+'Def, COC, ConvF DPK-7 '!D13</f>
        <v>7.3700000000000002E-2</v>
      </c>
      <c r="Y367" s="497">
        <f>+'Def, COC, ConvF DPK-7 '!D13</f>
        <v>7.3700000000000002E-2</v>
      </c>
      <c r="Z367" s="497">
        <f>+'Def, COC, ConvF DPK-7 '!D13</f>
        <v>7.3700000000000002E-2</v>
      </c>
      <c r="AA367" s="497">
        <f>+'Def, COC, ConvF DPK-7 '!D13</f>
        <v>7.3700000000000002E-2</v>
      </c>
      <c r="AB367" s="497">
        <f>+'Def, COC, ConvF DPK-7 '!D13</f>
        <v>7.3700000000000002E-2</v>
      </c>
      <c r="AC367" s="497">
        <f>+'Def, COC, ConvF DPK-7 '!D13</f>
        <v>7.3700000000000002E-2</v>
      </c>
      <c r="AD367" s="497">
        <f>+'Def, COC, ConvF DPK-7 '!D13</f>
        <v>7.3700000000000002E-2</v>
      </c>
      <c r="AE367" s="497">
        <f>+'Def, COC, ConvF DPK-7 '!D13</f>
        <v>7.3700000000000002E-2</v>
      </c>
      <c r="AF367" s="497">
        <f>+'Def, COC, ConvF DPK-7 '!D13</f>
        <v>7.3700000000000002E-2</v>
      </c>
      <c r="AG367" s="497">
        <f>+'Def, COC, ConvF DPK-7 '!D13</f>
        <v>7.3700000000000002E-2</v>
      </c>
      <c r="AH367" s="497">
        <f>+'Def, COC, ConvF DPK-7 '!D13</f>
        <v>7.3700000000000002E-2</v>
      </c>
      <c r="AI367" s="497">
        <f>+'Def, COC, ConvF DPK-7 '!D13</f>
        <v>7.3700000000000002E-2</v>
      </c>
      <c r="AJ367" s="497"/>
      <c r="AK367" s="497"/>
      <c r="AL367" s="497"/>
      <c r="AM367" s="497"/>
      <c r="AN367" s="497"/>
      <c r="AO367" s="497"/>
      <c r="AP367" s="497">
        <f>+'Def, COC, ConvF DPK-7 '!D13</f>
        <v>7.3700000000000002E-2</v>
      </c>
      <c r="AQ367" s="497">
        <f>+'Def, COC, ConvF DPK-7 '!D13</f>
        <v>7.3700000000000002E-2</v>
      </c>
      <c r="AR367" s="497">
        <f>+'Def, COC, ConvF DPK-7 '!D13</f>
        <v>7.3700000000000002E-2</v>
      </c>
      <c r="AS367" s="497" t="str">
        <f>+'Def, COC, ConvF DPK-7 '!M13</f>
        <v>ANNUAL FILING FEE</v>
      </c>
      <c r="AT367" s="497"/>
      <c r="AU367" s="497"/>
      <c r="AV367" s="497"/>
      <c r="AW367" s="497"/>
      <c r="AX367" s="497"/>
      <c r="AY367" s="497"/>
      <c r="AZ367" s="497"/>
      <c r="BB367" s="496">
        <f>+'Def, COC, ConvF DPK-7 '!C13</f>
        <v>7.3575000000000002E-2</v>
      </c>
      <c r="BC367" s="496">
        <f>+'Def, COC, ConvF DPK-7 '!C13</f>
        <v>7.3575000000000002E-2</v>
      </c>
      <c r="BD367" s="444"/>
      <c r="BF367" s="336"/>
    </row>
    <row r="368" spans="2:58" hidden="1" outlineLevel="1" x14ac:dyDescent="0.35">
      <c r="B368" s="329" t="s">
        <v>23</v>
      </c>
      <c r="C368" s="516"/>
      <c r="D368" s="466">
        <f>+'Def, COC, ConvF DPK-7 '!P20</f>
        <v>0.75421300000000002</v>
      </c>
      <c r="E368" s="329">
        <f>+'Def, COC, ConvF DPK-7 '!P20</f>
        <v>0.75421300000000002</v>
      </c>
      <c r="F368" s="329">
        <f>+'Def, COC, ConvF DPK-7 '!P20</f>
        <v>0.75421300000000002</v>
      </c>
      <c r="G368" s="329">
        <f>+'Def, COC, ConvF DPK-7 '!P20</f>
        <v>0.75421300000000002</v>
      </c>
      <c r="H368" s="329">
        <f>+'Def, COC, ConvF DPK-7 '!P20</f>
        <v>0.75421300000000002</v>
      </c>
      <c r="I368" s="329">
        <f>+'Def, COC, ConvF DPK-7 '!P20</f>
        <v>0.75421300000000002</v>
      </c>
      <c r="J368" s="329">
        <f>+'Def, COC, ConvF DPK-7 '!P20</f>
        <v>0.75421300000000002</v>
      </c>
      <c r="K368" s="329">
        <f>+'Def, COC, ConvF DPK-7 '!P20</f>
        <v>0.75421300000000002</v>
      </c>
      <c r="L368" s="329">
        <f>+'Def, COC, ConvF DPK-7 '!P20</f>
        <v>0.75421300000000002</v>
      </c>
      <c r="M368" s="329">
        <f>+'Def, COC, ConvF DPK-7 '!P20</f>
        <v>0.75421300000000002</v>
      </c>
      <c r="N368" s="329">
        <f>+'Def, COC, ConvF DPK-7 '!P20</f>
        <v>0.75421300000000002</v>
      </c>
      <c r="O368" s="329">
        <f>+'Def, COC, ConvF DPK-7 '!P20</f>
        <v>0.75421300000000002</v>
      </c>
      <c r="P368" s="329">
        <f>+'Def, COC, ConvF DPK-7 '!P20</f>
        <v>0.75421300000000002</v>
      </c>
      <c r="Q368" s="329">
        <f>+'Def, COC, ConvF DPK-7 '!P20</f>
        <v>0.75421300000000002</v>
      </c>
      <c r="R368" s="329">
        <f>+'Def, COC, ConvF DPK-7 '!P20</f>
        <v>0.75421300000000002</v>
      </c>
      <c r="S368" s="329">
        <f>+'Def, COC, ConvF DPK-7 '!P20</f>
        <v>0.75421300000000002</v>
      </c>
      <c r="T368" s="329">
        <f>+'Def, COC, ConvF DPK-7 '!P20</f>
        <v>0.75421300000000002</v>
      </c>
      <c r="U368" s="329">
        <f>+'Def, COC, ConvF DPK-7 '!P20</f>
        <v>0.75421300000000002</v>
      </c>
      <c r="V368" s="329">
        <f>+'Def, COC, ConvF DPK-7 '!P20</f>
        <v>0.75421300000000002</v>
      </c>
      <c r="W368" s="329">
        <f>+'Def, COC, ConvF DPK-7 '!P20</f>
        <v>0.75421300000000002</v>
      </c>
      <c r="X368" s="329">
        <f>+'Def, COC, ConvF DPK-7 '!P20</f>
        <v>0.75421300000000002</v>
      </c>
      <c r="Y368" s="329">
        <f>+'Def, COC, ConvF DPK-7 '!P20</f>
        <v>0.75421300000000002</v>
      </c>
      <c r="Z368" s="329">
        <f>+'Def, COC, ConvF DPK-7 '!P20</f>
        <v>0.75421300000000002</v>
      </c>
      <c r="AA368" s="329">
        <f>+'Def, COC, ConvF DPK-7 '!P20</f>
        <v>0.75421300000000002</v>
      </c>
      <c r="AB368" s="329">
        <f>+'Def, COC, ConvF DPK-7 '!P20</f>
        <v>0.75421300000000002</v>
      </c>
      <c r="AC368" s="329">
        <f>+'Def, COC, ConvF DPK-7 '!P20</f>
        <v>0.75421300000000002</v>
      </c>
      <c r="AD368" s="329">
        <f>+'Def, COC, ConvF DPK-7 '!P20</f>
        <v>0.75421300000000002</v>
      </c>
      <c r="AE368" s="329">
        <f>+'Def, COC, ConvF DPK-7 '!P20</f>
        <v>0.75421300000000002</v>
      </c>
      <c r="AF368" s="329">
        <f>+'Def, COC, ConvF DPK-7 '!P20</f>
        <v>0.75421300000000002</v>
      </c>
      <c r="AG368" s="329">
        <f>+'Def, COC, ConvF DPK-7 '!P20</f>
        <v>0.75421300000000002</v>
      </c>
      <c r="AH368" s="329">
        <f>+'Def, COC, ConvF DPK-7 '!P20</f>
        <v>0.75421300000000002</v>
      </c>
      <c r="AI368" s="329">
        <f>+'Def, COC, ConvF DPK-7 '!P20</f>
        <v>0.75421300000000002</v>
      </c>
      <c r="AP368" s="329">
        <f>+'Def, COC, ConvF DPK-7 '!P20</f>
        <v>0.75421300000000002</v>
      </c>
      <c r="AQ368" s="329">
        <f>+'Def, COC, ConvF DPK-7 '!P20</f>
        <v>0.75421300000000002</v>
      </c>
      <c r="AR368" s="329">
        <f>+'Def, COC, ConvF DPK-7 '!P20</f>
        <v>0.75421300000000002</v>
      </c>
      <c r="AS368" s="329">
        <f>+'Def, COC, ConvF DPK-7 '!Y20</f>
        <v>0</v>
      </c>
      <c r="BB368" s="466">
        <f>+'Def, COC, ConvF DPK-7 '!P20</f>
        <v>0.75421300000000002</v>
      </c>
      <c r="BC368" s="466">
        <f>+'Def, COC, ConvF DPK-7 '!P20</f>
        <v>0.75421300000000002</v>
      </c>
      <c r="BD368" s="444"/>
      <c r="BF368" s="336"/>
    </row>
    <row r="369" spans="1:58" hidden="1" outlineLevel="1" x14ac:dyDescent="0.35">
      <c r="B369" s="329" t="s">
        <v>186</v>
      </c>
      <c r="C369" s="516"/>
      <c r="D369" s="470">
        <f>+D352-(D365*D367)</f>
        <v>0</v>
      </c>
      <c r="E369" s="265">
        <f t="shared" ref="E369:AS369" si="115">+E352-(E365*E367)</f>
        <v>0</v>
      </c>
      <c r="F369" s="265">
        <f t="shared" si="115"/>
        <v>0</v>
      </c>
      <c r="G369" s="265">
        <f t="shared" si="115"/>
        <v>0</v>
      </c>
      <c r="H369" s="265">
        <f t="shared" si="115"/>
        <v>0</v>
      </c>
      <c r="I369" s="265">
        <f t="shared" si="115"/>
        <v>0</v>
      </c>
      <c r="J369" s="265">
        <f t="shared" si="115"/>
        <v>0</v>
      </c>
      <c r="K369" s="265">
        <f t="shared" si="115"/>
        <v>0</v>
      </c>
      <c r="L369" s="265">
        <f t="shared" si="115"/>
        <v>0</v>
      </c>
      <c r="M369" s="265">
        <f t="shared" si="115"/>
        <v>0</v>
      </c>
      <c r="N369" s="265">
        <f t="shared" si="115"/>
        <v>0</v>
      </c>
      <c r="O369" s="265">
        <f t="shared" si="115"/>
        <v>0</v>
      </c>
      <c r="P369" s="265">
        <f t="shared" si="115"/>
        <v>0</v>
      </c>
      <c r="Q369" s="265">
        <f t="shared" si="115"/>
        <v>0</v>
      </c>
      <c r="R369" s="265">
        <f t="shared" si="115"/>
        <v>0</v>
      </c>
      <c r="S369" s="265">
        <f t="shared" si="115"/>
        <v>0</v>
      </c>
      <c r="T369" s="265">
        <f t="shared" si="115"/>
        <v>0</v>
      </c>
      <c r="U369" s="265">
        <f t="shared" si="115"/>
        <v>0</v>
      </c>
      <c r="V369" s="265">
        <f t="shared" si="115"/>
        <v>0</v>
      </c>
      <c r="W369" s="265">
        <f t="shared" si="115"/>
        <v>0</v>
      </c>
      <c r="X369" s="265">
        <f t="shared" si="115"/>
        <v>0</v>
      </c>
      <c r="Y369" s="265">
        <f t="shared" si="115"/>
        <v>0</v>
      </c>
      <c r="Z369" s="525">
        <f t="shared" si="115"/>
        <v>0</v>
      </c>
      <c r="AA369" s="265">
        <f t="shared" si="115"/>
        <v>0</v>
      </c>
      <c r="AB369" s="265">
        <f t="shared" si="115"/>
        <v>0</v>
      </c>
      <c r="AC369" s="265">
        <f t="shared" si="115"/>
        <v>0</v>
      </c>
      <c r="AD369" s="265">
        <f t="shared" si="115"/>
        <v>0</v>
      </c>
      <c r="AE369" s="265">
        <f t="shared" si="115"/>
        <v>0</v>
      </c>
      <c r="AF369" s="265">
        <f t="shared" si="115"/>
        <v>0</v>
      </c>
      <c r="AG369" s="265">
        <f t="shared" si="115"/>
        <v>0</v>
      </c>
      <c r="AH369" s="265">
        <f t="shared" si="115"/>
        <v>0</v>
      </c>
      <c r="AI369" s="525">
        <f t="shared" si="115"/>
        <v>0</v>
      </c>
      <c r="AJ369" s="525"/>
      <c r="AK369" s="525"/>
      <c r="AL369" s="525"/>
      <c r="AM369" s="525"/>
      <c r="AN369" s="525"/>
      <c r="AO369" s="525"/>
      <c r="AP369" s="265">
        <f t="shared" si="115"/>
        <v>0</v>
      </c>
      <c r="AQ369" s="265">
        <f t="shared" si="115"/>
        <v>0</v>
      </c>
      <c r="AR369" s="265">
        <f t="shared" si="115"/>
        <v>0</v>
      </c>
      <c r="AS369" s="265" t="e">
        <f t="shared" si="115"/>
        <v>#VALUE!</v>
      </c>
      <c r="AT369" s="265"/>
      <c r="AU369" s="265"/>
      <c r="AV369" s="265"/>
      <c r="AW369" s="265"/>
      <c r="AX369" s="265"/>
      <c r="AY369" s="265"/>
      <c r="AZ369" s="265"/>
      <c r="BB369" s="470" t="e">
        <f>SUM(E369:AZ369)</f>
        <v>#VALUE!</v>
      </c>
      <c r="BC369" s="470">
        <f>+BC352-(BC365*BC367)</f>
        <v>0</v>
      </c>
      <c r="BD369" s="444"/>
      <c r="BF369" s="336"/>
    </row>
    <row r="370" spans="1:58" hidden="1" outlineLevel="1" x14ac:dyDescent="0.35">
      <c r="B370" s="329" t="s">
        <v>187</v>
      </c>
      <c r="C370" s="516"/>
      <c r="D370" s="470">
        <f t="shared" ref="D370:BC370" si="116">-D369/D368</f>
        <v>0</v>
      </c>
      <c r="E370" s="265">
        <f t="shared" si="116"/>
        <v>0</v>
      </c>
      <c r="F370" s="265">
        <f t="shared" si="116"/>
        <v>0</v>
      </c>
      <c r="G370" s="265">
        <f t="shared" si="116"/>
        <v>0</v>
      </c>
      <c r="H370" s="265">
        <f t="shared" si="116"/>
        <v>0</v>
      </c>
      <c r="I370" s="265">
        <f t="shared" si="116"/>
        <v>0</v>
      </c>
      <c r="J370" s="265">
        <f t="shared" si="116"/>
        <v>0</v>
      </c>
      <c r="K370" s="265">
        <f t="shared" si="116"/>
        <v>0</v>
      </c>
      <c r="L370" s="265">
        <f t="shared" si="116"/>
        <v>0</v>
      </c>
      <c r="M370" s="265">
        <f t="shared" si="116"/>
        <v>0</v>
      </c>
      <c r="N370" s="265">
        <f t="shared" si="116"/>
        <v>0</v>
      </c>
      <c r="O370" s="265">
        <f t="shared" si="116"/>
        <v>0</v>
      </c>
      <c r="P370" s="265">
        <f t="shared" si="116"/>
        <v>0</v>
      </c>
      <c r="Q370" s="265">
        <f t="shared" si="116"/>
        <v>0</v>
      </c>
      <c r="R370" s="265">
        <f t="shared" si="116"/>
        <v>0</v>
      </c>
      <c r="S370" s="265">
        <f t="shared" si="116"/>
        <v>0</v>
      </c>
      <c r="T370" s="265">
        <f t="shared" si="116"/>
        <v>0</v>
      </c>
      <c r="U370" s="265">
        <f t="shared" si="116"/>
        <v>0</v>
      </c>
      <c r="V370" s="265">
        <f t="shared" si="116"/>
        <v>0</v>
      </c>
      <c r="W370" s="265">
        <f t="shared" si="116"/>
        <v>0</v>
      </c>
      <c r="X370" s="265">
        <f t="shared" si="116"/>
        <v>0</v>
      </c>
      <c r="Y370" s="265">
        <f t="shared" si="116"/>
        <v>0</v>
      </c>
      <c r="Z370" s="525">
        <f t="shared" si="116"/>
        <v>0</v>
      </c>
      <c r="AA370" s="265">
        <f t="shared" si="116"/>
        <v>0</v>
      </c>
      <c r="AB370" s="265">
        <f t="shared" si="116"/>
        <v>0</v>
      </c>
      <c r="AC370" s="265">
        <f t="shared" si="116"/>
        <v>0</v>
      </c>
      <c r="AD370" s="265">
        <f t="shared" si="116"/>
        <v>0</v>
      </c>
      <c r="AE370" s="265">
        <f t="shared" si="116"/>
        <v>0</v>
      </c>
      <c r="AF370" s="265">
        <f t="shared" si="116"/>
        <v>0</v>
      </c>
      <c r="AG370" s="265">
        <f t="shared" si="116"/>
        <v>0</v>
      </c>
      <c r="AH370" s="265">
        <f t="shared" si="116"/>
        <v>0</v>
      </c>
      <c r="AI370" s="525">
        <f t="shared" si="116"/>
        <v>0</v>
      </c>
      <c r="AJ370" s="525"/>
      <c r="AK370" s="525"/>
      <c r="AL370" s="525"/>
      <c r="AM370" s="525"/>
      <c r="AN370" s="525"/>
      <c r="AO370" s="525"/>
      <c r="AP370" s="265">
        <f t="shared" si="116"/>
        <v>0</v>
      </c>
      <c r="AQ370" s="265">
        <f t="shared" si="116"/>
        <v>0</v>
      </c>
      <c r="AR370" s="265">
        <f t="shared" si="116"/>
        <v>0</v>
      </c>
      <c r="AS370" s="265" t="e">
        <f t="shared" si="116"/>
        <v>#VALUE!</v>
      </c>
      <c r="AT370" s="265"/>
      <c r="AU370" s="265"/>
      <c r="AV370" s="265"/>
      <c r="AW370" s="265"/>
      <c r="AX370" s="265"/>
      <c r="AY370" s="265"/>
      <c r="AZ370" s="265"/>
      <c r="BB370" s="470" t="e">
        <f t="shared" si="116"/>
        <v>#VALUE!</v>
      </c>
      <c r="BC370" s="470">
        <f t="shared" si="116"/>
        <v>0</v>
      </c>
      <c r="BD370" s="444"/>
      <c r="BF370" s="336"/>
    </row>
    <row r="371" spans="1:58" hidden="1" outlineLevel="1" x14ac:dyDescent="0.35">
      <c r="B371" s="329" t="s">
        <v>42</v>
      </c>
      <c r="C371" s="516"/>
      <c r="D371" s="470"/>
      <c r="E371" s="265"/>
      <c r="F371" s="265"/>
      <c r="G371" s="265"/>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525"/>
      <c r="AJ371" s="525"/>
      <c r="AK371" s="525"/>
      <c r="AL371" s="525"/>
      <c r="AM371" s="525"/>
      <c r="AN371" s="525"/>
      <c r="AO371" s="525"/>
      <c r="AP371" s="265"/>
      <c r="AQ371" s="265"/>
      <c r="AR371" s="265"/>
      <c r="AS371" s="265"/>
      <c r="AT371" s="265"/>
      <c r="AU371" s="265"/>
      <c r="AV371" s="265"/>
      <c r="AW371" s="265"/>
      <c r="AX371" s="265"/>
      <c r="AY371" s="265"/>
      <c r="AZ371" s="265"/>
      <c r="BB371" s="470"/>
      <c r="BC371" s="470">
        <f>+BC310</f>
        <v>0</v>
      </c>
      <c r="BD371" s="444"/>
      <c r="BF371" s="336"/>
    </row>
    <row r="372" spans="1:58" hidden="1" outlineLevel="1" x14ac:dyDescent="0.35">
      <c r="B372" s="329" t="s">
        <v>43</v>
      </c>
      <c r="C372" s="516"/>
      <c r="D372" s="470"/>
      <c r="E372" s="265"/>
      <c r="F372" s="265"/>
      <c r="G372" s="265"/>
      <c r="H372" s="265"/>
      <c r="I372" s="265"/>
      <c r="J372" s="265"/>
      <c r="K372" s="265"/>
      <c r="L372" s="265"/>
      <c r="M372" s="265"/>
      <c r="N372" s="265"/>
      <c r="O372" s="265"/>
      <c r="P372" s="265"/>
      <c r="Q372" s="265"/>
      <c r="R372" s="265"/>
      <c r="S372" s="265"/>
      <c r="T372" s="265"/>
      <c r="U372" s="265"/>
      <c r="V372" s="265"/>
      <c r="W372" s="265"/>
      <c r="X372" s="265"/>
      <c r="Y372" s="265"/>
      <c r="Z372" s="265"/>
      <c r="AA372" s="265"/>
      <c r="AB372" s="265"/>
      <c r="AC372" s="265"/>
      <c r="AD372" s="265"/>
      <c r="AE372" s="265"/>
      <c r="AF372" s="265"/>
      <c r="AG372" s="265"/>
      <c r="AH372" s="265"/>
      <c r="AI372" s="265"/>
      <c r="AJ372" s="265"/>
      <c r="AK372" s="265"/>
      <c r="AL372" s="265"/>
      <c r="AM372" s="265"/>
      <c r="AN372" s="265"/>
      <c r="AO372" s="265"/>
      <c r="AP372" s="265"/>
      <c r="AQ372" s="265"/>
      <c r="AR372" s="265"/>
      <c r="AS372" s="265"/>
      <c r="AT372" s="265"/>
      <c r="AU372" s="265"/>
      <c r="AV372" s="265"/>
      <c r="AW372" s="265"/>
      <c r="AX372" s="265"/>
      <c r="AY372" s="265"/>
      <c r="AZ372" s="265"/>
      <c r="BB372" s="470"/>
      <c r="BC372" s="521">
        <f>SUM(BC370:BC371)</f>
        <v>0</v>
      </c>
      <c r="BD372" s="444"/>
      <c r="BF372" s="336"/>
    </row>
    <row r="373" spans="1:58" hidden="1" outlineLevel="1" x14ac:dyDescent="0.35">
      <c r="C373" s="516"/>
      <c r="D373" s="498"/>
      <c r="E373" s="265"/>
      <c r="F373" s="265"/>
      <c r="G373" s="265"/>
      <c r="H373" s="265"/>
      <c r="I373" s="265"/>
      <c r="J373" s="265"/>
      <c r="K373" s="265"/>
      <c r="L373" s="265"/>
      <c r="M373" s="265"/>
      <c r="N373" s="265"/>
      <c r="O373" s="265"/>
      <c r="P373" s="265"/>
      <c r="Q373" s="265"/>
      <c r="R373" s="265"/>
      <c r="S373" s="265"/>
      <c r="T373" s="265"/>
      <c r="U373" s="265"/>
      <c r="V373" s="265"/>
      <c r="W373" s="265"/>
      <c r="X373" s="265"/>
      <c r="Y373" s="265"/>
      <c r="Z373" s="265"/>
      <c r="AA373" s="265"/>
      <c r="AB373" s="265"/>
      <c r="AC373" s="265"/>
      <c r="AD373" s="265"/>
      <c r="AE373" s="265"/>
      <c r="AF373" s="265"/>
      <c r="AG373" s="265"/>
      <c r="AH373" s="265"/>
      <c r="AI373" s="265"/>
      <c r="AJ373" s="265"/>
      <c r="AK373" s="265"/>
      <c r="AL373" s="265"/>
      <c r="AM373" s="265"/>
      <c r="AN373" s="265"/>
      <c r="AO373" s="265"/>
      <c r="AP373" s="265"/>
      <c r="AQ373" s="265"/>
      <c r="AR373" s="265"/>
      <c r="AS373" s="265"/>
      <c r="AT373" s="265"/>
      <c r="AU373" s="265"/>
      <c r="AV373" s="265"/>
      <c r="AW373" s="265"/>
      <c r="AX373" s="265"/>
      <c r="AY373" s="265"/>
      <c r="AZ373" s="265"/>
      <c r="BB373" s="498"/>
      <c r="BC373" s="498"/>
      <c r="BD373" s="444"/>
      <c r="BF373" s="336"/>
    </row>
    <row r="374" spans="1:58" hidden="1" outlineLevel="1" x14ac:dyDescent="0.35">
      <c r="C374" s="516"/>
      <c r="AS374" s="329"/>
      <c r="BB374" s="497">
        <f>+'Def, COC, ConvF DPK-7 '!K27</f>
        <v>7.3575000000000002E-2</v>
      </c>
      <c r="BC374" s="497">
        <f>+'Def, COC, ConvF DPK-7 '!K27</f>
        <v>7.3575000000000002E-2</v>
      </c>
      <c r="BD374" s="444"/>
      <c r="BF374" s="336"/>
    </row>
    <row r="375" spans="1:58" hidden="1" outlineLevel="1" x14ac:dyDescent="0.35">
      <c r="B375" s="499" t="s">
        <v>939</v>
      </c>
      <c r="C375" s="516"/>
      <c r="D375" s="513"/>
      <c r="E375" s="551">
        <f>ROUND('Common Adj'!O$71-E352,0)+E354</f>
        <v>0</v>
      </c>
      <c r="F375" s="551">
        <f>ROUND('Common Adj'!AG$65-F352,0)+F354</f>
        <v>0</v>
      </c>
      <c r="G375" s="551">
        <f>ROUND('Common Adj'!AY$30-G352,0)+G354</f>
        <v>0</v>
      </c>
      <c r="H375" s="551">
        <f>ROUND('Common Adj'!BQ$22-H352,0)+ROUND('Common Adj'!BQ$24-H354,0)</f>
        <v>0</v>
      </c>
      <c r="I375" s="551">
        <f>ROUND('Common Adj'!CI$24-I352,0)+I354</f>
        <v>0</v>
      </c>
      <c r="J375" s="551">
        <f>ROUND('Common Adj'!DA$20-J352,0)+J354</f>
        <v>0</v>
      </c>
      <c r="K375" s="551">
        <f>ROUND('Common Adj'!DS$22-K352,0)+K354</f>
        <v>0</v>
      </c>
      <c r="L375" s="551">
        <f>ROUND('Common Adj'!EK$21-L352,0)+L354</f>
        <v>0</v>
      </c>
      <c r="M375" s="551">
        <f>ROUND('Common Adj'!FC$27-M352,0)+M354</f>
        <v>0</v>
      </c>
      <c r="N375" s="551">
        <f>ROUND('Common Adj'!FU$23-N352,0)+N354</f>
        <v>0</v>
      </c>
      <c r="O375" s="551">
        <f>ROUND('Common Adj'!GM$32-O352,0)+O354</f>
        <v>0</v>
      </c>
      <c r="P375" s="551">
        <f>ROUND('Common Adj'!HE$36-P352,0)+P354</f>
        <v>0</v>
      </c>
      <c r="Q375" s="551">
        <f>ROUND('Common Adj'!HW$18-Q352,0)+Q354</f>
        <v>0</v>
      </c>
      <c r="R375" s="551">
        <f>ROUND('Common Adj'!IO$21-R352,0)+R354</f>
        <v>0</v>
      </c>
      <c r="S375" s="551">
        <f>ROUND('Common Adj'!JG$22-S352,0)+S354</f>
        <v>0</v>
      </c>
      <c r="T375" s="551">
        <f>ROUND('Common Adj'!JY$23-T352,0)+T354</f>
        <v>0</v>
      </c>
      <c r="U375" s="551">
        <f>ROUND('Common Adj'!KQ$20-U352,0)+U354</f>
        <v>0</v>
      </c>
      <c r="V375" s="551">
        <f>ROUND('Common Adj'!LI$33-V352,0)+V354</f>
        <v>0</v>
      </c>
      <c r="W375" s="551">
        <f>ROUND('Common Adj'!MA$22-W354,0)+W352</f>
        <v>0</v>
      </c>
      <c r="X375" s="551">
        <f>ROUND('Common Adj'!MS$31-X352,0)+ROUND('Common Adj'!MS$36-X354,0)</f>
        <v>0</v>
      </c>
      <c r="Y375" s="551">
        <f>ROUND('Common Adj'!NK$22-Y352,0)+Y354</f>
        <v>0</v>
      </c>
      <c r="Z375" s="551">
        <f>ROUND('Common Adj'!OC$31-Z352,0)+Z354</f>
        <v>0</v>
      </c>
      <c r="AA375" s="551">
        <f>ROUND('Common Adj'!OU$40-AA352,0)+ROUND('Common Adj'!OU$29-AA354,0)</f>
        <v>0</v>
      </c>
      <c r="AB375" s="551">
        <f>ROUND('Common Adj'!PM$46-AB352,0)+ROUND('Common Adj'!PM$35-AB354,0)</f>
        <v>0</v>
      </c>
      <c r="AC375" s="551" t="e">
        <f>ROUND('Common Adj'!#REF!-AC352,0)+AC354</f>
        <v>#REF!</v>
      </c>
      <c r="AD375" s="551">
        <f>ROUND('Common Adj'!QX19-AD354,0)</f>
        <v>0</v>
      </c>
      <c r="AE375" s="551">
        <f>ROUND('Common Adj'!SZ$26-AE352,0)+ROUND('Common Adj'!SZ$31-AE354,0)</f>
        <v>0</v>
      </c>
      <c r="AF375" s="551">
        <f>ROUND('Common Adj'!SZ$44-AF352,0)+ROUND('Common Adj'!SZ$49-AF354,0)</f>
        <v>0</v>
      </c>
      <c r="AG375" s="551">
        <f>ROUND('Common Adj'!SZ$62-AG352,0)+ROUND('Common Adj'!SZ$67-AG354,0)</f>
        <v>0</v>
      </c>
      <c r="AH375" s="551">
        <f>ROUND('Common Adj'!SZ$80-AH352,0)+ROUND('Common Adj'!SZ$85-AH354,0)</f>
        <v>0</v>
      </c>
      <c r="AI375" s="551">
        <f>ROUND('Common Adj'!SZ$98-AI352,0)+ROUND('Common Adj'!SZ$103-AI354,0)</f>
        <v>0</v>
      </c>
      <c r="AJ375" s="551"/>
      <c r="AK375" s="551"/>
      <c r="AL375" s="551"/>
      <c r="AM375" s="551"/>
      <c r="AN375" s="551"/>
      <c r="AO375" s="551"/>
      <c r="AP375" s="551">
        <f>ROUND('Gas Adj'!BQ$44-AP354,0)+ROUND('Gas Adj'!BQ$33-AP352,0)</f>
        <v>0</v>
      </c>
      <c r="AQ375" s="551">
        <f>ROUND('Gas Adj'!CI$47-AQ352,0)+ROUND('Gas Adj'!CI$27-AQ354,0)</f>
        <v>0</v>
      </c>
      <c r="AR375" s="551">
        <f>ROUND('Gas Adj'!BQ274-AR352,0)+AR354</f>
        <v>0</v>
      </c>
      <c r="AS375" s="551">
        <f>ROUND('Gas Adj'!BZ274-AS352,0)+AS354</f>
        <v>0</v>
      </c>
      <c r="AT375" s="551">
        <f>ROUND('Gas Adj'!BS274-AT352,0)+AT354</f>
        <v>0</v>
      </c>
      <c r="AU375" s="551">
        <f>ROUND('Gas Adj'!BT274-AU352,0)+AU354</f>
        <v>0</v>
      </c>
      <c r="AV375" s="551">
        <f>ROUND('Gas Adj'!BU274-AV352,0)+AV354</f>
        <v>0</v>
      </c>
      <c r="AW375" s="551">
        <f>ROUND('Gas Adj'!BV274-AW352,0)+AW354</f>
        <v>0</v>
      </c>
      <c r="AX375" s="551">
        <f>ROUND('Gas Adj'!BW274-AX352,0)+AX354</f>
        <v>0</v>
      </c>
      <c r="AY375" s="551">
        <f>ROUND('Gas Adj'!BX274-AY352,0)+AY354</f>
        <v>0</v>
      </c>
      <c r="AZ375" s="551">
        <f>ROUND('Gas Adj'!BY274-AZ352,0)+AZ354</f>
        <v>0</v>
      </c>
      <c r="BB375" s="501"/>
      <c r="BC375" s="501"/>
      <c r="BD375" s="444"/>
      <c r="BF375" s="336"/>
    </row>
    <row r="376" spans="1:58" hidden="1" outlineLevel="1" x14ac:dyDescent="0.35">
      <c r="B376" s="499" t="s">
        <v>953</v>
      </c>
      <c r="C376" s="516"/>
      <c r="D376" s="551"/>
      <c r="AS376" s="329"/>
      <c r="BC376" s="551">
        <f>'Summary DPK-7 '!O47-BC352</f>
        <v>0</v>
      </c>
      <c r="BD376" s="444"/>
      <c r="BF376" s="336"/>
    </row>
    <row r="377" spans="1:58" hidden="1" outlineLevel="1" x14ac:dyDescent="0.35">
      <c r="B377" s="499" t="s">
        <v>954</v>
      </c>
      <c r="C377" s="516"/>
      <c r="D377" s="551"/>
      <c r="AS377" s="329"/>
      <c r="BC377" s="551">
        <f>'Summary DPK-7 '!O58-BC365</f>
        <v>0</v>
      </c>
      <c r="BD377" s="444"/>
      <c r="BF377" s="336"/>
    </row>
    <row r="378" spans="1:58" hidden="1" outlineLevel="1" x14ac:dyDescent="0.35">
      <c r="A378" s="456"/>
      <c r="B378" s="503"/>
      <c r="C378" s="504"/>
      <c r="D378" s="462"/>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c r="AG378" s="456"/>
      <c r="AH378" s="456"/>
      <c r="AI378" s="456"/>
      <c r="AJ378" s="456"/>
      <c r="AK378" s="456"/>
      <c r="AL378" s="456"/>
      <c r="AM378" s="456"/>
      <c r="AN378" s="456"/>
      <c r="AO378" s="456"/>
      <c r="AP378" s="456"/>
      <c r="AQ378" s="456"/>
      <c r="AR378" s="456"/>
      <c r="AS378" s="456"/>
      <c r="AT378" s="456"/>
      <c r="AU378" s="456"/>
      <c r="AV378" s="456"/>
      <c r="AW378" s="456"/>
      <c r="AX378" s="456"/>
      <c r="AY378" s="456"/>
      <c r="AZ378" s="456"/>
      <c r="BB378" s="456"/>
      <c r="BC378" s="462"/>
      <c r="BD378" s="444"/>
      <c r="BF378" s="336"/>
    </row>
    <row r="379" spans="1:58" hidden="1" outlineLevel="1" x14ac:dyDescent="0.35">
      <c r="A379" s="456"/>
      <c r="B379" s="458"/>
      <c r="C379" s="459"/>
      <c r="D379" s="460"/>
      <c r="E379" s="461"/>
      <c r="F379" s="461"/>
      <c r="G379" s="461"/>
      <c r="H379" s="461"/>
      <c r="I379" s="461"/>
      <c r="J379" s="461"/>
      <c r="K379" s="461"/>
      <c r="L379" s="461"/>
      <c r="M379" s="461"/>
      <c r="N379" s="461"/>
      <c r="O379" s="461"/>
      <c r="P379" s="461"/>
      <c r="Q379" s="461"/>
      <c r="R379" s="461"/>
      <c r="S379" s="461"/>
      <c r="T379" s="461"/>
      <c r="U379" s="461"/>
      <c r="V379" s="461"/>
      <c r="W379" s="461"/>
      <c r="X379" s="461"/>
      <c r="Y379" s="461"/>
      <c r="Z379" s="461"/>
      <c r="AA379" s="461"/>
      <c r="AB379" s="461"/>
      <c r="AC379" s="461"/>
      <c r="AD379" s="461"/>
      <c r="AE379" s="461"/>
      <c r="AF379" s="461"/>
      <c r="AG379" s="461"/>
      <c r="AH379" s="461"/>
      <c r="AI379" s="461"/>
      <c r="AJ379" s="461"/>
      <c r="AK379" s="461"/>
      <c r="AL379" s="461"/>
      <c r="AM379" s="461"/>
      <c r="AN379" s="461"/>
      <c r="AO379" s="461"/>
      <c r="AP379" s="461"/>
      <c r="AQ379" s="461"/>
      <c r="AR379" s="461"/>
      <c r="AS379" s="461"/>
      <c r="AT379" s="461"/>
      <c r="AU379" s="461"/>
      <c r="AV379" s="461"/>
      <c r="AW379" s="461"/>
      <c r="AX379" s="461"/>
      <c r="AY379" s="461"/>
      <c r="AZ379" s="461"/>
      <c r="BB379" s="461"/>
      <c r="BC379" s="461"/>
      <c r="BD379" s="444"/>
      <c r="BF379" s="336"/>
    </row>
    <row r="380" spans="1:58" hidden="1" outlineLevel="1" x14ac:dyDescent="0.35">
      <c r="A380" s="456"/>
      <c r="B380" s="458"/>
      <c r="C380" s="459"/>
      <c r="D380" s="462"/>
      <c r="E380" s="463"/>
      <c r="F380" s="463"/>
      <c r="G380" s="463"/>
      <c r="H380" s="463"/>
      <c r="I380" s="463"/>
      <c r="J380" s="463"/>
      <c r="K380" s="463"/>
      <c r="L380" s="463"/>
      <c r="M380" s="463"/>
      <c r="N380" s="463"/>
      <c r="O380" s="463"/>
      <c r="P380" s="463"/>
      <c r="Q380" s="463"/>
      <c r="R380" s="463"/>
      <c r="S380" s="463"/>
      <c r="T380" s="463"/>
      <c r="U380" s="463"/>
      <c r="V380" s="463"/>
      <c r="W380" s="463"/>
      <c r="X380" s="463"/>
      <c r="Y380" s="463"/>
      <c r="Z380" s="463"/>
      <c r="AA380" s="463"/>
      <c r="AB380" s="463"/>
      <c r="AC380" s="463"/>
      <c r="AD380" s="463"/>
      <c r="AE380" s="463"/>
      <c r="AF380" s="463"/>
      <c r="AG380" s="463"/>
      <c r="AH380" s="463"/>
      <c r="AI380" s="463"/>
      <c r="AJ380" s="463"/>
      <c r="AK380" s="463"/>
      <c r="AL380" s="463"/>
      <c r="AM380" s="463"/>
      <c r="AN380" s="463"/>
      <c r="AO380" s="463"/>
      <c r="AP380" s="463"/>
      <c r="AQ380" s="463"/>
      <c r="AR380" s="463"/>
      <c r="AS380" s="463"/>
      <c r="AT380" s="463"/>
      <c r="AU380" s="463"/>
      <c r="AV380" s="463"/>
      <c r="AW380" s="463"/>
      <c r="AX380" s="463"/>
      <c r="AY380" s="463"/>
      <c r="AZ380" s="463"/>
      <c r="BB380" s="456"/>
      <c r="BC380" s="462"/>
      <c r="BD380" s="444"/>
      <c r="BF380" s="336"/>
    </row>
    <row r="381" spans="1:58" hidden="1" outlineLevel="1" x14ac:dyDescent="0.35">
      <c r="B381" s="464" t="s">
        <v>0</v>
      </c>
      <c r="C381" s="465"/>
      <c r="D381" s="476"/>
      <c r="AS381" s="329"/>
      <c r="BB381" s="467"/>
      <c r="BC381" s="467"/>
      <c r="BD381" s="444"/>
      <c r="BF381" s="336"/>
    </row>
    <row r="382" spans="1:58" hidden="1" outlineLevel="1" x14ac:dyDescent="0.35">
      <c r="B382" s="464" t="s">
        <v>48</v>
      </c>
      <c r="C382" s="465"/>
      <c r="D382" s="467">
        <f>+BC321</f>
        <v>0</v>
      </c>
      <c r="E382" s="468">
        <f>'Common Adj'!$Q$37</f>
        <v>0</v>
      </c>
      <c r="F382" s="469"/>
      <c r="G382" s="469"/>
      <c r="H382" s="469"/>
      <c r="I382" s="469"/>
      <c r="J382" s="469"/>
      <c r="K382" s="469"/>
      <c r="L382" s="469"/>
      <c r="M382" s="469"/>
      <c r="N382" s="469"/>
      <c r="O382" s="469"/>
      <c r="P382" s="469"/>
      <c r="Q382" s="469"/>
      <c r="R382" s="469"/>
      <c r="S382" s="469"/>
      <c r="T382" s="469"/>
      <c r="U382" s="469"/>
      <c r="V382" s="469"/>
      <c r="W382" s="469"/>
      <c r="X382" s="469"/>
      <c r="Y382" s="469"/>
      <c r="Z382" s="469"/>
      <c r="AA382" s="469"/>
      <c r="AB382" s="469"/>
      <c r="AC382" s="469"/>
      <c r="AD382" s="469"/>
      <c r="AE382" s="469"/>
      <c r="AF382" s="469"/>
      <c r="AG382" s="469"/>
      <c r="AH382" s="469"/>
      <c r="AI382" s="469"/>
      <c r="AJ382" s="469"/>
      <c r="AK382" s="469"/>
      <c r="AL382" s="469"/>
      <c r="AM382" s="469"/>
      <c r="AN382" s="469"/>
      <c r="AO382" s="469"/>
      <c r="AP382" s="469"/>
      <c r="AQ382" s="469"/>
      <c r="AR382" s="469"/>
      <c r="AS382" s="469"/>
      <c r="AT382" s="469"/>
      <c r="AU382" s="469"/>
      <c r="AV382" s="469"/>
      <c r="AW382" s="468"/>
      <c r="AX382" s="468"/>
      <c r="AY382" s="469"/>
      <c r="AZ382" s="469"/>
      <c r="BB382" s="467">
        <f>SUM(E382:AZ382)</f>
        <v>0</v>
      </c>
      <c r="BC382" s="467">
        <f>+BB382+D382</f>
        <v>0</v>
      </c>
      <c r="BD382" s="444"/>
      <c r="BF382" s="336"/>
    </row>
    <row r="383" spans="1:58" hidden="1" outlineLevel="1" x14ac:dyDescent="0.35">
      <c r="B383" s="464" t="s">
        <v>49</v>
      </c>
      <c r="C383" s="465"/>
      <c r="D383" s="470">
        <f>+BC322</f>
        <v>0</v>
      </c>
      <c r="E383" s="471"/>
      <c r="F383" s="472"/>
      <c r="G383" s="472"/>
      <c r="H383" s="472"/>
      <c r="I383" s="472"/>
      <c r="J383" s="472"/>
      <c r="K383" s="472"/>
      <c r="L383" s="472"/>
      <c r="M383" s="472"/>
      <c r="N383" s="472"/>
      <c r="O383" s="472"/>
      <c r="P383" s="472"/>
      <c r="Q383" s="472"/>
      <c r="R383" s="472"/>
      <c r="S383" s="472"/>
      <c r="T383" s="472"/>
      <c r="U383" s="472"/>
      <c r="V383" s="472"/>
      <c r="W383" s="472"/>
      <c r="X383" s="472"/>
      <c r="Y383" s="472"/>
      <c r="Z383" s="472"/>
      <c r="AA383" s="472"/>
      <c r="AB383" s="472"/>
      <c r="AC383" s="472"/>
      <c r="AD383" s="472"/>
      <c r="AE383" s="472"/>
      <c r="AF383" s="472"/>
      <c r="AG383" s="472"/>
      <c r="AH383" s="472"/>
      <c r="AI383" s="472"/>
      <c r="AJ383" s="472"/>
      <c r="AK383" s="472"/>
      <c r="AL383" s="472"/>
      <c r="AM383" s="472"/>
      <c r="AN383" s="472"/>
      <c r="AO383" s="472"/>
      <c r="AP383" s="472"/>
      <c r="AQ383" s="472"/>
      <c r="AR383" s="472"/>
      <c r="AS383" s="472"/>
      <c r="AT383" s="472"/>
      <c r="AU383" s="472"/>
      <c r="AV383" s="472"/>
      <c r="AW383" s="471"/>
      <c r="AX383" s="471"/>
      <c r="AY383" s="472"/>
      <c r="AZ383" s="472"/>
      <c r="BB383" s="470">
        <f>SUM(E383:AZ383)</f>
        <v>0</v>
      </c>
      <c r="BC383" s="470">
        <f>+BB383+D383</f>
        <v>0</v>
      </c>
      <c r="BD383" s="444"/>
      <c r="BF383" s="336"/>
    </row>
    <row r="384" spans="1:58" hidden="1" outlineLevel="1" x14ac:dyDescent="0.35">
      <c r="B384" s="464" t="s">
        <v>50</v>
      </c>
      <c r="C384" s="465"/>
      <c r="D384" s="470">
        <f>+BC323</f>
        <v>0</v>
      </c>
      <c r="E384" s="471"/>
      <c r="F384" s="472"/>
      <c r="G384" s="472"/>
      <c r="H384" s="472"/>
      <c r="I384" s="472"/>
      <c r="J384" s="472"/>
      <c r="K384" s="472"/>
      <c r="L384" s="472"/>
      <c r="M384" s="472"/>
      <c r="N384" s="472"/>
      <c r="O384" s="472"/>
      <c r="P384" s="472"/>
      <c r="Q384" s="472"/>
      <c r="R384" s="472"/>
      <c r="S384" s="472"/>
      <c r="T384" s="472"/>
      <c r="U384" s="472"/>
      <c r="V384" s="472"/>
      <c r="W384" s="472"/>
      <c r="X384" s="472"/>
      <c r="Y384" s="472"/>
      <c r="Z384" s="472"/>
      <c r="AA384" s="472"/>
      <c r="AB384" s="472"/>
      <c r="AC384" s="472"/>
      <c r="AD384" s="472"/>
      <c r="AE384" s="472"/>
      <c r="AF384" s="472"/>
      <c r="AG384" s="472"/>
      <c r="AH384" s="472"/>
      <c r="AI384" s="511"/>
      <c r="AJ384" s="511"/>
      <c r="AK384" s="511"/>
      <c r="AL384" s="511"/>
      <c r="AM384" s="511"/>
      <c r="AN384" s="511"/>
      <c r="AO384" s="511"/>
      <c r="AP384" s="472"/>
      <c r="AQ384" s="472"/>
      <c r="AR384" s="472"/>
      <c r="AS384" s="472"/>
      <c r="AT384" s="472"/>
      <c r="AU384" s="472"/>
      <c r="AV384" s="472"/>
      <c r="AW384" s="471"/>
      <c r="AX384" s="471"/>
      <c r="AY384" s="472"/>
      <c r="AZ384" s="472"/>
      <c r="BB384" s="470">
        <f>SUM(E384:AZ384)</f>
        <v>0</v>
      </c>
      <c r="BC384" s="470">
        <f>+BB384+D384</f>
        <v>0</v>
      </c>
      <c r="BD384" s="444"/>
      <c r="BF384" s="336"/>
    </row>
    <row r="385" spans="2:58" hidden="1" outlineLevel="1" x14ac:dyDescent="0.35">
      <c r="B385" s="464" t="s">
        <v>51</v>
      </c>
      <c r="C385" s="465"/>
      <c r="D385" s="470">
        <f>+BC324</f>
        <v>0</v>
      </c>
      <c r="E385" s="471"/>
      <c r="F385" s="472"/>
      <c r="G385" s="472"/>
      <c r="H385" s="472"/>
      <c r="I385" s="472"/>
      <c r="J385" s="472"/>
      <c r="K385" s="472"/>
      <c r="L385" s="472"/>
      <c r="M385" s="472"/>
      <c r="N385" s="472"/>
      <c r="O385" s="472"/>
      <c r="P385" s="472"/>
      <c r="Q385" s="472"/>
      <c r="R385" s="472"/>
      <c r="S385" s="472"/>
      <c r="T385" s="472"/>
      <c r="U385" s="472"/>
      <c r="V385" s="472"/>
      <c r="W385" s="472"/>
      <c r="X385" s="472"/>
      <c r="Y385" s="472"/>
      <c r="Z385" s="471"/>
      <c r="AA385" s="471"/>
      <c r="AB385" s="471"/>
      <c r="AC385" s="472"/>
      <c r="AD385" s="472"/>
      <c r="AE385" s="472"/>
      <c r="AF385" s="472"/>
      <c r="AG385" s="472"/>
      <c r="AH385" s="472"/>
      <c r="AI385" s="511"/>
      <c r="AJ385" s="511"/>
      <c r="AK385" s="511"/>
      <c r="AL385" s="511"/>
      <c r="AM385" s="511"/>
      <c r="AN385" s="511"/>
      <c r="AO385" s="511"/>
      <c r="AP385" s="472"/>
      <c r="AQ385" s="472"/>
      <c r="AR385" s="472"/>
      <c r="AS385" s="472"/>
      <c r="AT385" s="472"/>
      <c r="AU385" s="472"/>
      <c r="AV385" s="472"/>
      <c r="AW385" s="471"/>
      <c r="AX385" s="471"/>
      <c r="AY385" s="472"/>
      <c r="AZ385" s="472"/>
      <c r="BB385" s="470">
        <f>SUM(E385:AZ385)</f>
        <v>0</v>
      </c>
      <c r="BC385" s="470">
        <f>+BB385+D385</f>
        <v>0</v>
      </c>
      <c r="BD385" s="444"/>
      <c r="BF385" s="336"/>
    </row>
    <row r="386" spans="2:58" hidden="1" outlineLevel="1" x14ac:dyDescent="0.35">
      <c r="B386" s="464" t="s">
        <v>58</v>
      </c>
      <c r="C386" s="465"/>
      <c r="D386" s="473">
        <f t="shared" ref="D386:BC386" si="117">SUM(D382:D385)</f>
        <v>0</v>
      </c>
      <c r="E386" s="474">
        <f t="shared" si="117"/>
        <v>0</v>
      </c>
      <c r="F386" s="436">
        <f t="shared" si="117"/>
        <v>0</v>
      </c>
      <c r="G386" s="436">
        <f t="shared" si="117"/>
        <v>0</v>
      </c>
      <c r="H386" s="436">
        <f t="shared" si="117"/>
        <v>0</v>
      </c>
      <c r="I386" s="436">
        <f t="shared" si="117"/>
        <v>0</v>
      </c>
      <c r="J386" s="436">
        <f t="shared" si="117"/>
        <v>0</v>
      </c>
      <c r="K386" s="436">
        <f t="shared" si="117"/>
        <v>0</v>
      </c>
      <c r="L386" s="436">
        <f t="shared" si="117"/>
        <v>0</v>
      </c>
      <c r="M386" s="436">
        <f t="shared" si="117"/>
        <v>0</v>
      </c>
      <c r="N386" s="436">
        <f t="shared" si="117"/>
        <v>0</v>
      </c>
      <c r="O386" s="436">
        <f t="shared" si="117"/>
        <v>0</v>
      </c>
      <c r="P386" s="436">
        <f t="shared" si="117"/>
        <v>0</v>
      </c>
      <c r="Q386" s="436">
        <f t="shared" si="117"/>
        <v>0</v>
      </c>
      <c r="R386" s="436">
        <f t="shared" si="117"/>
        <v>0</v>
      </c>
      <c r="S386" s="436">
        <f t="shared" si="117"/>
        <v>0</v>
      </c>
      <c r="T386" s="436">
        <f t="shared" si="117"/>
        <v>0</v>
      </c>
      <c r="U386" s="436">
        <f t="shared" si="117"/>
        <v>0</v>
      </c>
      <c r="V386" s="436">
        <f t="shared" si="117"/>
        <v>0</v>
      </c>
      <c r="W386" s="436">
        <f t="shared" si="117"/>
        <v>0</v>
      </c>
      <c r="X386" s="436">
        <f t="shared" si="117"/>
        <v>0</v>
      </c>
      <c r="Y386" s="436">
        <f t="shared" si="117"/>
        <v>0</v>
      </c>
      <c r="Z386" s="474">
        <f t="shared" si="117"/>
        <v>0</v>
      </c>
      <c r="AA386" s="474">
        <f t="shared" si="117"/>
        <v>0</v>
      </c>
      <c r="AB386" s="474">
        <f t="shared" si="117"/>
        <v>0</v>
      </c>
      <c r="AC386" s="436">
        <f t="shared" si="117"/>
        <v>0</v>
      </c>
      <c r="AD386" s="436">
        <f t="shared" si="117"/>
        <v>0</v>
      </c>
      <c r="AE386" s="436">
        <f t="shared" si="117"/>
        <v>0</v>
      </c>
      <c r="AF386" s="436">
        <f t="shared" si="117"/>
        <v>0</v>
      </c>
      <c r="AG386" s="436">
        <f t="shared" si="117"/>
        <v>0</v>
      </c>
      <c r="AH386" s="436">
        <f t="shared" si="117"/>
        <v>0</v>
      </c>
      <c r="AI386" s="522">
        <f t="shared" si="117"/>
        <v>0</v>
      </c>
      <c r="AJ386" s="522"/>
      <c r="AK386" s="522"/>
      <c r="AL386" s="522"/>
      <c r="AM386" s="522"/>
      <c r="AN386" s="522"/>
      <c r="AO386" s="522"/>
      <c r="AP386" s="436">
        <f t="shared" si="117"/>
        <v>0</v>
      </c>
      <c r="AQ386" s="436">
        <f t="shared" si="117"/>
        <v>0</v>
      </c>
      <c r="AR386" s="436">
        <f t="shared" si="117"/>
        <v>0</v>
      </c>
      <c r="AS386" s="436">
        <f t="shared" si="117"/>
        <v>0</v>
      </c>
      <c r="AT386" s="436"/>
      <c r="AU386" s="436"/>
      <c r="AV386" s="436"/>
      <c r="AW386" s="474"/>
      <c r="AX386" s="474"/>
      <c r="AY386" s="436"/>
      <c r="AZ386" s="436"/>
      <c r="BB386" s="473">
        <f t="shared" si="117"/>
        <v>0</v>
      </c>
      <c r="BC386" s="473">
        <f t="shared" si="117"/>
        <v>0</v>
      </c>
      <c r="BD386" s="444"/>
      <c r="BF386" s="336"/>
    </row>
    <row r="387" spans="2:58" hidden="1" outlineLevel="1" x14ac:dyDescent="0.35">
      <c r="B387" s="475"/>
      <c r="C387" s="465"/>
      <c r="D387" s="470"/>
      <c r="E387" s="471"/>
      <c r="F387" s="472"/>
      <c r="G387" s="472"/>
      <c r="H387" s="472"/>
      <c r="I387" s="472"/>
      <c r="J387" s="472"/>
      <c r="K387" s="472"/>
      <c r="L387" s="472"/>
      <c r="M387" s="472"/>
      <c r="N387" s="472"/>
      <c r="O387" s="472"/>
      <c r="P387" s="472"/>
      <c r="Q387" s="472"/>
      <c r="R387" s="472"/>
      <c r="S387" s="472"/>
      <c r="T387" s="472"/>
      <c r="U387" s="472"/>
      <c r="V387" s="472"/>
      <c r="W387" s="472"/>
      <c r="X387" s="472"/>
      <c r="Y387" s="472"/>
      <c r="Z387" s="471"/>
      <c r="AA387" s="471"/>
      <c r="AB387" s="471"/>
      <c r="AC387" s="472"/>
      <c r="AD387" s="472"/>
      <c r="AE387" s="472"/>
      <c r="AF387" s="472"/>
      <c r="AG387" s="472"/>
      <c r="AH387" s="472"/>
      <c r="AI387" s="472"/>
      <c r="AJ387" s="472"/>
      <c r="AK387" s="472"/>
      <c r="AL387" s="472"/>
      <c r="AM387" s="472"/>
      <c r="AN387" s="472"/>
      <c r="AO387" s="472"/>
      <c r="AP387" s="472"/>
      <c r="AQ387" s="472"/>
      <c r="AR387" s="472"/>
      <c r="AS387" s="472"/>
      <c r="AT387" s="472"/>
      <c r="AU387" s="472"/>
      <c r="AV387" s="472"/>
      <c r="AW387" s="471"/>
      <c r="AX387" s="471"/>
      <c r="AY387" s="472"/>
      <c r="AZ387" s="472"/>
      <c r="BB387" s="470"/>
      <c r="BC387" s="470"/>
      <c r="BD387" s="444"/>
      <c r="BF387" s="336"/>
    </row>
    <row r="388" spans="2:58" hidden="1" outlineLevel="1" x14ac:dyDescent="0.35">
      <c r="B388" s="464" t="s">
        <v>52</v>
      </c>
      <c r="C388" s="465"/>
      <c r="D388" s="466"/>
      <c r="E388" s="341"/>
      <c r="Z388" s="341"/>
      <c r="AA388" s="341"/>
      <c r="AB388" s="341"/>
      <c r="AS388" s="329"/>
      <c r="AW388" s="341"/>
      <c r="AX388" s="341"/>
      <c r="BB388" s="466"/>
      <c r="BC388" s="466"/>
      <c r="BD388" s="444"/>
      <c r="BF388" s="336"/>
    </row>
    <row r="389" spans="2:58" hidden="1" outlineLevel="1" x14ac:dyDescent="0.35">
      <c r="C389" s="465"/>
      <c r="D389" s="466"/>
      <c r="E389" s="341"/>
      <c r="Z389" s="341"/>
      <c r="AA389" s="341"/>
      <c r="AB389" s="341"/>
      <c r="AS389" s="329"/>
      <c r="AW389" s="341"/>
      <c r="AX389" s="341"/>
      <c r="BB389" s="466"/>
      <c r="BC389" s="466"/>
      <c r="BD389" s="444"/>
      <c r="BF389" s="336"/>
    </row>
    <row r="390" spans="2:58" hidden="1" outlineLevel="1" x14ac:dyDescent="0.35">
      <c r="B390" s="464" t="s">
        <v>53</v>
      </c>
      <c r="C390" s="465"/>
      <c r="D390" s="466"/>
      <c r="E390" s="341"/>
      <c r="Z390" s="341"/>
      <c r="AA390" s="341"/>
      <c r="AB390" s="341"/>
      <c r="AS390" s="329"/>
      <c r="AW390" s="341"/>
      <c r="AX390" s="341"/>
      <c r="BB390" s="466"/>
      <c r="BC390" s="466"/>
      <c r="BD390" s="444"/>
      <c r="BF390" s="336"/>
    </row>
    <row r="391" spans="2:58" hidden="1" outlineLevel="1" x14ac:dyDescent="0.35">
      <c r="B391" s="464" t="s">
        <v>54</v>
      </c>
      <c r="C391" s="465"/>
      <c r="D391" s="476">
        <f>+BC330</f>
        <v>0</v>
      </c>
      <c r="E391" s="420"/>
      <c r="F391" s="173"/>
      <c r="G391" s="173"/>
      <c r="H391" s="173"/>
      <c r="I391" s="173"/>
      <c r="J391" s="173"/>
      <c r="K391" s="173"/>
      <c r="L391" s="173"/>
      <c r="M391" s="173"/>
      <c r="N391" s="173"/>
      <c r="O391" s="173"/>
      <c r="P391" s="173"/>
      <c r="Q391" s="173"/>
      <c r="R391" s="173"/>
      <c r="S391" s="173"/>
      <c r="T391" s="173"/>
      <c r="U391" s="173"/>
      <c r="V391" s="173"/>
      <c r="W391" s="173"/>
      <c r="X391" s="173"/>
      <c r="Y391" s="173"/>
      <c r="Z391" s="420"/>
      <c r="AA391" s="420"/>
      <c r="AB391" s="420"/>
      <c r="AC391" s="173"/>
      <c r="AD391" s="173"/>
      <c r="AE391" s="173"/>
      <c r="AF391" s="173"/>
      <c r="AG391" s="173"/>
      <c r="AH391" s="173"/>
      <c r="AI391" s="510"/>
      <c r="AJ391" s="510"/>
      <c r="AK391" s="510"/>
      <c r="AL391" s="510"/>
      <c r="AM391" s="510"/>
      <c r="AN391" s="510"/>
      <c r="AO391" s="510"/>
      <c r="AP391" s="173"/>
      <c r="AQ391" s="173"/>
      <c r="AR391" s="173"/>
      <c r="AS391" s="173"/>
      <c r="AT391" s="173"/>
      <c r="AU391" s="173"/>
      <c r="AV391" s="173"/>
      <c r="AW391" s="420"/>
      <c r="AX391" s="420"/>
      <c r="AY391" s="173"/>
      <c r="AZ391" s="173"/>
      <c r="BB391" s="476">
        <f>SUM(E391:AZ391)</f>
        <v>0</v>
      </c>
      <c r="BC391" s="476">
        <f>+BB391+D391</f>
        <v>0</v>
      </c>
      <c r="BD391" s="444"/>
      <c r="BF391" s="336"/>
    </row>
    <row r="392" spans="2:58" hidden="1" outlineLevel="1" x14ac:dyDescent="0.35">
      <c r="B392" s="464" t="s">
        <v>55</v>
      </c>
      <c r="C392" s="465"/>
      <c r="D392" s="470">
        <f>+BC331</f>
        <v>0</v>
      </c>
      <c r="E392" s="471"/>
      <c r="F392" s="472"/>
      <c r="G392" s="472"/>
      <c r="H392" s="472"/>
      <c r="I392" s="472"/>
      <c r="J392" s="472"/>
      <c r="K392" s="472"/>
      <c r="L392" s="472"/>
      <c r="M392" s="472"/>
      <c r="N392" s="472"/>
      <c r="O392" s="472"/>
      <c r="P392" s="472"/>
      <c r="Q392" s="472"/>
      <c r="R392" s="472"/>
      <c r="S392" s="472"/>
      <c r="T392" s="472"/>
      <c r="U392" s="472"/>
      <c r="V392" s="472"/>
      <c r="W392" s="472"/>
      <c r="X392" s="472"/>
      <c r="Y392" s="472"/>
      <c r="Z392" s="471"/>
      <c r="AA392" s="471"/>
      <c r="AB392" s="471"/>
      <c r="AC392" s="472"/>
      <c r="AD392" s="472"/>
      <c r="AE392" s="472"/>
      <c r="AF392" s="472"/>
      <c r="AG392" s="472"/>
      <c r="AH392" s="472"/>
      <c r="AI392" s="511"/>
      <c r="AJ392" s="511"/>
      <c r="AK392" s="511"/>
      <c r="AL392" s="511"/>
      <c r="AM392" s="511"/>
      <c r="AN392" s="511"/>
      <c r="AO392" s="511"/>
      <c r="AP392" s="472"/>
      <c r="AQ392" s="472"/>
      <c r="AR392" s="472"/>
      <c r="AS392" s="472"/>
      <c r="AT392" s="472"/>
      <c r="AU392" s="472"/>
      <c r="AV392" s="472"/>
      <c r="AW392" s="471"/>
      <c r="AX392" s="471"/>
      <c r="AY392" s="472"/>
      <c r="AZ392" s="472"/>
      <c r="BB392" s="470">
        <f>SUM(E392:AZ392)</f>
        <v>0</v>
      </c>
      <c r="BC392" s="470">
        <f>+BB392+D392</f>
        <v>0</v>
      </c>
      <c r="BD392" s="444"/>
      <c r="BF392" s="336"/>
    </row>
    <row r="393" spans="2:58" hidden="1" outlineLevel="1" x14ac:dyDescent="0.35">
      <c r="B393" s="464" t="s">
        <v>56</v>
      </c>
      <c r="C393" s="465"/>
      <c r="D393" s="470">
        <f>+BC332</f>
        <v>0</v>
      </c>
      <c r="E393" s="471"/>
      <c r="F393" s="472"/>
      <c r="G393" s="472"/>
      <c r="H393" s="472"/>
      <c r="I393" s="472"/>
      <c r="J393" s="472"/>
      <c r="K393" s="472"/>
      <c r="L393" s="472"/>
      <c r="M393" s="472"/>
      <c r="N393" s="472"/>
      <c r="O393" s="472"/>
      <c r="P393" s="472"/>
      <c r="Q393" s="472"/>
      <c r="R393" s="472"/>
      <c r="S393" s="472"/>
      <c r="T393" s="472"/>
      <c r="U393" s="472"/>
      <c r="V393" s="472"/>
      <c r="W393" s="472"/>
      <c r="X393" s="472"/>
      <c r="Y393" s="472"/>
      <c r="Z393" s="471"/>
      <c r="AA393" s="471"/>
      <c r="AB393" s="471"/>
      <c r="AC393" s="472"/>
      <c r="AD393" s="472"/>
      <c r="AE393" s="472"/>
      <c r="AF393" s="472"/>
      <c r="AG393" s="472"/>
      <c r="AH393" s="472"/>
      <c r="AI393" s="511"/>
      <c r="AJ393" s="511"/>
      <c r="AK393" s="511"/>
      <c r="AL393" s="511"/>
      <c r="AM393" s="511"/>
      <c r="AN393" s="511"/>
      <c r="AO393" s="511"/>
      <c r="AP393" s="472"/>
      <c r="AQ393" s="472"/>
      <c r="AR393" s="472"/>
      <c r="AS393" s="472"/>
      <c r="AT393" s="472"/>
      <c r="AU393" s="472"/>
      <c r="AV393" s="472"/>
      <c r="AW393" s="471"/>
      <c r="AX393" s="471"/>
      <c r="AY393" s="472"/>
      <c r="AZ393" s="472"/>
      <c r="BB393" s="470">
        <f>SUM(E393:AZ393)</f>
        <v>0</v>
      </c>
      <c r="BC393" s="470">
        <f>+BB393+D393</f>
        <v>0</v>
      </c>
      <c r="BD393" s="444"/>
      <c r="BF393" s="336"/>
    </row>
    <row r="394" spans="2:58" hidden="1" outlineLevel="1" x14ac:dyDescent="0.35">
      <c r="B394" s="329" t="s">
        <v>57</v>
      </c>
      <c r="C394" s="465"/>
      <c r="D394" s="470">
        <f>+BC333</f>
        <v>0</v>
      </c>
      <c r="E394" s="471"/>
      <c r="F394" s="472"/>
      <c r="G394" s="472"/>
      <c r="H394" s="472"/>
      <c r="I394" s="472"/>
      <c r="J394" s="472"/>
      <c r="K394" s="472"/>
      <c r="L394" s="472"/>
      <c r="M394" s="472"/>
      <c r="N394" s="472"/>
      <c r="O394" s="472"/>
      <c r="P394" s="472"/>
      <c r="Q394" s="472"/>
      <c r="R394" s="472"/>
      <c r="S394" s="472"/>
      <c r="T394" s="472"/>
      <c r="U394" s="472"/>
      <c r="V394" s="472"/>
      <c r="W394" s="472"/>
      <c r="X394" s="472"/>
      <c r="Y394" s="472"/>
      <c r="Z394" s="471"/>
      <c r="AA394" s="471"/>
      <c r="AB394" s="471"/>
      <c r="AC394" s="472"/>
      <c r="AD394" s="472"/>
      <c r="AE394" s="472"/>
      <c r="AF394" s="472"/>
      <c r="AG394" s="472"/>
      <c r="AH394" s="472"/>
      <c r="AI394" s="472"/>
      <c r="AJ394" s="472"/>
      <c r="AK394" s="472"/>
      <c r="AL394" s="472"/>
      <c r="AM394" s="472"/>
      <c r="AN394" s="472"/>
      <c r="AO394" s="472"/>
      <c r="AP394" s="472"/>
      <c r="AQ394" s="472"/>
      <c r="AR394" s="472"/>
      <c r="AS394" s="472"/>
      <c r="AT394" s="472"/>
      <c r="AU394" s="472"/>
      <c r="AV394" s="472"/>
      <c r="AW394" s="471"/>
      <c r="AX394" s="471"/>
      <c r="AY394" s="472"/>
      <c r="AZ394" s="472"/>
      <c r="BB394" s="470">
        <f>SUM(E394:AZ394)</f>
        <v>0</v>
      </c>
      <c r="BC394" s="470">
        <f>+BB394+D394</f>
        <v>0</v>
      </c>
      <c r="BD394" s="444"/>
      <c r="BF394" s="336"/>
    </row>
    <row r="395" spans="2:58" hidden="1" outlineLevel="1" x14ac:dyDescent="0.35">
      <c r="B395" s="464" t="s">
        <v>1</v>
      </c>
      <c r="C395" s="465"/>
      <c r="D395" s="477">
        <f t="shared" ref="D395:BC395" si="118">SUM(D390:D394)</f>
        <v>0</v>
      </c>
      <c r="E395" s="478">
        <f t="shared" si="118"/>
        <v>0</v>
      </c>
      <c r="F395" s="479">
        <f t="shared" si="118"/>
        <v>0</v>
      </c>
      <c r="G395" s="479">
        <f t="shared" si="118"/>
        <v>0</v>
      </c>
      <c r="H395" s="479">
        <f t="shared" si="118"/>
        <v>0</v>
      </c>
      <c r="I395" s="479">
        <f t="shared" si="118"/>
        <v>0</v>
      </c>
      <c r="J395" s="479">
        <f t="shared" si="118"/>
        <v>0</v>
      </c>
      <c r="K395" s="479">
        <f t="shared" si="118"/>
        <v>0</v>
      </c>
      <c r="L395" s="479">
        <f t="shared" si="118"/>
        <v>0</v>
      </c>
      <c r="M395" s="479">
        <f t="shared" si="118"/>
        <v>0</v>
      </c>
      <c r="N395" s="479">
        <f t="shared" si="118"/>
        <v>0</v>
      </c>
      <c r="O395" s="479">
        <f t="shared" si="118"/>
        <v>0</v>
      </c>
      <c r="P395" s="479">
        <f t="shared" si="118"/>
        <v>0</v>
      </c>
      <c r="Q395" s="479">
        <f t="shared" si="118"/>
        <v>0</v>
      </c>
      <c r="R395" s="479">
        <f t="shared" si="118"/>
        <v>0</v>
      </c>
      <c r="S395" s="479">
        <f t="shared" si="118"/>
        <v>0</v>
      </c>
      <c r="T395" s="479">
        <f t="shared" si="118"/>
        <v>0</v>
      </c>
      <c r="U395" s="479">
        <f t="shared" si="118"/>
        <v>0</v>
      </c>
      <c r="V395" s="479">
        <f t="shared" si="118"/>
        <v>0</v>
      </c>
      <c r="W395" s="479">
        <f t="shared" si="118"/>
        <v>0</v>
      </c>
      <c r="X395" s="479">
        <f t="shared" si="118"/>
        <v>0</v>
      </c>
      <c r="Y395" s="479">
        <f t="shared" si="118"/>
        <v>0</v>
      </c>
      <c r="Z395" s="478">
        <f t="shared" si="118"/>
        <v>0</v>
      </c>
      <c r="AA395" s="478">
        <f t="shared" si="118"/>
        <v>0</v>
      </c>
      <c r="AB395" s="478">
        <f t="shared" si="118"/>
        <v>0</v>
      </c>
      <c r="AC395" s="479">
        <f t="shared" si="118"/>
        <v>0</v>
      </c>
      <c r="AD395" s="479">
        <f t="shared" si="118"/>
        <v>0</v>
      </c>
      <c r="AE395" s="479">
        <f t="shared" si="118"/>
        <v>0</v>
      </c>
      <c r="AF395" s="479">
        <f t="shared" si="118"/>
        <v>0</v>
      </c>
      <c r="AG395" s="479">
        <f t="shared" si="118"/>
        <v>0</v>
      </c>
      <c r="AH395" s="479">
        <f t="shared" si="118"/>
        <v>0</v>
      </c>
      <c r="AI395" s="523">
        <f t="shared" si="118"/>
        <v>0</v>
      </c>
      <c r="AJ395" s="523"/>
      <c r="AK395" s="523"/>
      <c r="AL395" s="523"/>
      <c r="AM395" s="523"/>
      <c r="AN395" s="523"/>
      <c r="AO395" s="523"/>
      <c r="AP395" s="479">
        <f t="shared" si="118"/>
        <v>0</v>
      </c>
      <c r="AQ395" s="479">
        <f t="shared" si="118"/>
        <v>0</v>
      </c>
      <c r="AR395" s="479">
        <f t="shared" si="118"/>
        <v>0</v>
      </c>
      <c r="AS395" s="479">
        <f t="shared" si="118"/>
        <v>0</v>
      </c>
      <c r="AT395" s="479"/>
      <c r="AU395" s="479"/>
      <c r="AV395" s="479"/>
      <c r="AW395" s="478"/>
      <c r="AX395" s="478"/>
      <c r="AY395" s="479"/>
      <c r="AZ395" s="479"/>
      <c r="BB395" s="477">
        <f t="shared" si="118"/>
        <v>0</v>
      </c>
      <c r="BC395" s="477">
        <f t="shared" si="118"/>
        <v>0</v>
      </c>
      <c r="BD395" s="444"/>
      <c r="BF395" s="336"/>
    </row>
    <row r="396" spans="2:58" hidden="1" outlineLevel="1" x14ac:dyDescent="0.35">
      <c r="B396" s="464"/>
      <c r="C396" s="465"/>
      <c r="D396" s="476"/>
      <c r="E396" s="420"/>
      <c r="F396" s="173"/>
      <c r="G396" s="173"/>
      <c r="H396" s="173"/>
      <c r="I396" s="173"/>
      <c r="J396" s="173"/>
      <c r="K396" s="173"/>
      <c r="L396" s="173"/>
      <c r="M396" s="173"/>
      <c r="N396" s="173"/>
      <c r="O396" s="173"/>
      <c r="P396" s="173"/>
      <c r="Q396" s="173"/>
      <c r="R396" s="173"/>
      <c r="S396" s="173"/>
      <c r="T396" s="173"/>
      <c r="U396" s="173"/>
      <c r="V396" s="173"/>
      <c r="W396" s="173"/>
      <c r="X396" s="173"/>
      <c r="Y396" s="173"/>
      <c r="Z396" s="420"/>
      <c r="AA396" s="420"/>
      <c r="AB396" s="420"/>
      <c r="AC396" s="173"/>
      <c r="AD396" s="173"/>
      <c r="AE396" s="173"/>
      <c r="AF396" s="173"/>
      <c r="AG396" s="173"/>
      <c r="AH396" s="173"/>
      <c r="AI396" s="173"/>
      <c r="AJ396" s="173"/>
      <c r="AK396" s="173"/>
      <c r="AL396" s="173"/>
      <c r="AM396" s="173"/>
      <c r="AN396" s="173"/>
      <c r="AO396" s="173"/>
      <c r="AP396" s="173"/>
      <c r="AQ396" s="173"/>
      <c r="AR396" s="173"/>
      <c r="AS396" s="173"/>
      <c r="AT396" s="173"/>
      <c r="AU396" s="173"/>
      <c r="AV396" s="173"/>
      <c r="AW396" s="420"/>
      <c r="AX396" s="420"/>
      <c r="AY396" s="173"/>
      <c r="AZ396" s="173"/>
      <c r="BB396" s="476"/>
      <c r="BC396" s="476"/>
      <c r="BD396" s="444"/>
      <c r="BF396" s="336"/>
    </row>
    <row r="397" spans="2:58" hidden="1" outlineLevel="1" x14ac:dyDescent="0.35">
      <c r="B397" s="480" t="s">
        <v>59</v>
      </c>
      <c r="C397" s="465"/>
      <c r="D397" s="470">
        <f t="shared" ref="D397:D410" si="119">+BC336</f>
        <v>0</v>
      </c>
      <c r="E397" s="420"/>
      <c r="F397" s="173"/>
      <c r="G397" s="173"/>
      <c r="H397" s="173"/>
      <c r="I397" s="173"/>
      <c r="J397" s="173"/>
      <c r="K397" s="173"/>
      <c r="L397" s="173"/>
      <c r="M397" s="173"/>
      <c r="N397" s="173"/>
      <c r="O397" s="173"/>
      <c r="P397" s="173"/>
      <c r="Q397" s="173"/>
      <c r="R397" s="173"/>
      <c r="S397" s="173"/>
      <c r="T397" s="173"/>
      <c r="U397" s="173"/>
      <c r="V397" s="173"/>
      <c r="W397" s="173"/>
      <c r="X397" s="173"/>
      <c r="Y397" s="173"/>
      <c r="Z397" s="518"/>
      <c r="AA397" s="420"/>
      <c r="AB397" s="420"/>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420"/>
      <c r="AX397" s="420"/>
      <c r="AY397" s="173"/>
      <c r="AZ397" s="173"/>
      <c r="BB397" s="470">
        <f t="shared" ref="BB397:BB410" si="120">SUM(E397:AZ397)</f>
        <v>0</v>
      </c>
      <c r="BC397" s="476">
        <f t="shared" ref="BC397:BC410" si="121">+BB397+D397</f>
        <v>0</v>
      </c>
      <c r="BD397" s="444"/>
      <c r="BF397" s="336"/>
    </row>
    <row r="398" spans="2:58" hidden="1" outlineLevel="1" x14ac:dyDescent="0.35">
      <c r="B398" s="464" t="s">
        <v>60</v>
      </c>
      <c r="C398" s="465"/>
      <c r="D398" s="470">
        <f t="shared" si="119"/>
        <v>0</v>
      </c>
      <c r="E398" s="471"/>
      <c r="F398" s="472"/>
      <c r="G398" s="472"/>
      <c r="H398" s="472"/>
      <c r="I398" s="472"/>
      <c r="J398" s="472"/>
      <c r="K398" s="472"/>
      <c r="L398" s="472"/>
      <c r="M398" s="472"/>
      <c r="N398" s="472"/>
      <c r="O398" s="472"/>
      <c r="P398" s="472"/>
      <c r="Q398" s="472"/>
      <c r="R398" s="472"/>
      <c r="S398" s="472"/>
      <c r="T398" s="472"/>
      <c r="U398" s="472"/>
      <c r="V398" s="472"/>
      <c r="W398" s="472"/>
      <c r="X398" s="472"/>
      <c r="Y398" s="472"/>
      <c r="Z398" s="518"/>
      <c r="AA398" s="471"/>
      <c r="AB398" s="471"/>
      <c r="AC398" s="472"/>
      <c r="AD398" s="472"/>
      <c r="AE398" s="472"/>
      <c r="AF398" s="472"/>
      <c r="AG398" s="472"/>
      <c r="AH398" s="472"/>
      <c r="AI398" s="472"/>
      <c r="AJ398" s="472"/>
      <c r="AK398" s="472"/>
      <c r="AL398" s="472"/>
      <c r="AM398" s="472"/>
      <c r="AN398" s="472"/>
      <c r="AO398" s="472"/>
      <c r="AP398" s="472"/>
      <c r="AQ398" s="472"/>
      <c r="AR398" s="472"/>
      <c r="AS398" s="472"/>
      <c r="AT398" s="472"/>
      <c r="AU398" s="472"/>
      <c r="AV398" s="472"/>
      <c r="AW398" s="471"/>
      <c r="AX398" s="471"/>
      <c r="AY398" s="472"/>
      <c r="AZ398" s="472"/>
      <c r="BB398" s="470">
        <f t="shared" si="120"/>
        <v>0</v>
      </c>
      <c r="BC398" s="470">
        <f t="shared" si="121"/>
        <v>0</v>
      </c>
      <c r="BD398" s="444"/>
      <c r="BF398" s="336"/>
    </row>
    <row r="399" spans="2:58" hidden="1" outlineLevel="1" x14ac:dyDescent="0.35">
      <c r="B399" s="464" t="s">
        <v>61</v>
      </c>
      <c r="C399" s="465"/>
      <c r="D399" s="470">
        <f t="shared" si="119"/>
        <v>0</v>
      </c>
      <c r="E399" s="471"/>
      <c r="F399" s="472"/>
      <c r="G399" s="472"/>
      <c r="H399" s="472"/>
      <c r="I399" s="472"/>
      <c r="J399" s="472"/>
      <c r="K399" s="472"/>
      <c r="L399" s="472"/>
      <c r="M399" s="472"/>
      <c r="N399" s="472"/>
      <c r="O399" s="472"/>
      <c r="P399" s="472"/>
      <c r="Q399" s="472"/>
      <c r="R399" s="472"/>
      <c r="S399" s="472"/>
      <c r="T399" s="472"/>
      <c r="U399" s="472"/>
      <c r="V399" s="472"/>
      <c r="W399" s="472"/>
      <c r="X399" s="472"/>
      <c r="Y399" s="472"/>
      <c r="Z399" s="518"/>
      <c r="AA399" s="471"/>
      <c r="AB399" s="471"/>
      <c r="AC399" s="472"/>
      <c r="AD399" s="472"/>
      <c r="AE399" s="472"/>
      <c r="AF399" s="472"/>
      <c r="AG399" s="472"/>
      <c r="AH399" s="472"/>
      <c r="AI399" s="472"/>
      <c r="AJ399" s="472"/>
      <c r="AK399" s="472"/>
      <c r="AL399" s="472"/>
      <c r="AM399" s="472"/>
      <c r="AN399" s="472"/>
      <c r="AO399" s="472"/>
      <c r="AP399" s="472"/>
      <c r="AQ399" s="472"/>
      <c r="AR399" s="472"/>
      <c r="AS399" s="472"/>
      <c r="AT399" s="472"/>
      <c r="AU399" s="472"/>
      <c r="AV399" s="472"/>
      <c r="AW399" s="471"/>
      <c r="AX399" s="471"/>
      <c r="AY399" s="472"/>
      <c r="AZ399" s="472"/>
      <c r="BB399" s="470">
        <f t="shared" si="120"/>
        <v>0</v>
      </c>
      <c r="BC399" s="470">
        <f t="shared" si="121"/>
        <v>0</v>
      </c>
      <c r="BD399" s="444"/>
      <c r="BF399" s="336"/>
    </row>
    <row r="400" spans="2:58" hidden="1" outlineLevel="1" x14ac:dyDescent="0.35">
      <c r="B400" s="464" t="s">
        <v>62</v>
      </c>
      <c r="C400" s="465"/>
      <c r="D400" s="470">
        <f t="shared" si="119"/>
        <v>0</v>
      </c>
      <c r="E400" s="471">
        <f>'Common Adj'!$Q$64</f>
        <v>0</v>
      </c>
      <c r="F400" s="471"/>
      <c r="G400" s="471"/>
      <c r="H400" s="471"/>
      <c r="I400" s="471"/>
      <c r="J400" s="472"/>
      <c r="K400" s="472"/>
      <c r="L400" s="472"/>
      <c r="M400" s="472"/>
      <c r="N400" s="472"/>
      <c r="O400" s="472"/>
      <c r="P400" s="472"/>
      <c r="Q400" s="472"/>
      <c r="R400" s="472"/>
      <c r="S400" s="472"/>
      <c r="T400" s="472"/>
      <c r="U400" s="472"/>
      <c r="V400" s="472"/>
      <c r="W400" s="472"/>
      <c r="X400" s="472"/>
      <c r="Y400" s="472"/>
      <c r="Z400" s="518"/>
      <c r="AA400" s="471"/>
      <c r="AB400" s="471"/>
      <c r="AC400" s="472"/>
      <c r="AD400" s="472"/>
      <c r="AE400" s="472"/>
      <c r="AF400" s="472"/>
      <c r="AG400" s="472"/>
      <c r="AH400" s="472"/>
      <c r="AI400" s="472"/>
      <c r="AJ400" s="472"/>
      <c r="AK400" s="472"/>
      <c r="AL400" s="472"/>
      <c r="AM400" s="472"/>
      <c r="AN400" s="472"/>
      <c r="AO400" s="472"/>
      <c r="AP400" s="472"/>
      <c r="AQ400" s="472"/>
      <c r="AR400" s="472"/>
      <c r="AS400" s="472"/>
      <c r="AT400" s="472"/>
      <c r="AU400" s="472"/>
      <c r="AV400" s="472"/>
      <c r="AW400" s="471"/>
      <c r="AX400" s="471"/>
      <c r="AY400" s="472"/>
      <c r="AZ400" s="472"/>
      <c r="BB400" s="470">
        <f t="shared" si="120"/>
        <v>0</v>
      </c>
      <c r="BC400" s="470">
        <f t="shared" si="121"/>
        <v>0</v>
      </c>
      <c r="BD400" s="444"/>
      <c r="BF400" s="336"/>
    </row>
    <row r="401" spans="2:58" hidden="1" outlineLevel="1" x14ac:dyDescent="0.35">
      <c r="B401" s="464" t="s">
        <v>63</v>
      </c>
      <c r="C401" s="465"/>
      <c r="D401" s="470">
        <f t="shared" si="119"/>
        <v>0</v>
      </c>
      <c r="E401" s="471"/>
      <c r="F401" s="471"/>
      <c r="G401" s="471"/>
      <c r="H401" s="471"/>
      <c r="I401" s="471"/>
      <c r="J401" s="472"/>
      <c r="K401" s="472"/>
      <c r="L401" s="472"/>
      <c r="M401" s="472"/>
      <c r="N401" s="472"/>
      <c r="O401" s="472"/>
      <c r="P401" s="472"/>
      <c r="Q401" s="472"/>
      <c r="R401" s="472"/>
      <c r="S401" s="472"/>
      <c r="T401" s="472"/>
      <c r="U401" s="472"/>
      <c r="V401" s="472"/>
      <c r="W401" s="472"/>
      <c r="X401" s="472"/>
      <c r="Y401" s="472"/>
      <c r="Z401" s="518"/>
      <c r="AA401" s="471"/>
      <c r="AB401" s="471"/>
      <c r="AC401" s="472"/>
      <c r="AD401" s="472"/>
      <c r="AE401" s="472"/>
      <c r="AF401" s="472"/>
      <c r="AG401" s="472"/>
      <c r="AH401" s="472"/>
      <c r="AI401" s="472"/>
      <c r="AJ401" s="472"/>
      <c r="AK401" s="472"/>
      <c r="AL401" s="472"/>
      <c r="AM401" s="472"/>
      <c r="AN401" s="472"/>
      <c r="AO401" s="472"/>
      <c r="AP401" s="472"/>
      <c r="AQ401" s="472"/>
      <c r="AR401" s="472"/>
      <c r="AS401" s="472"/>
      <c r="AT401" s="472"/>
      <c r="AU401" s="472"/>
      <c r="AV401" s="472"/>
      <c r="AW401" s="471"/>
      <c r="AX401" s="471"/>
      <c r="AY401" s="472"/>
      <c r="AZ401" s="472"/>
      <c r="BB401" s="470">
        <f t="shared" si="120"/>
        <v>0</v>
      </c>
      <c r="BC401" s="470">
        <f t="shared" si="121"/>
        <v>0</v>
      </c>
      <c r="BD401" s="444"/>
      <c r="BF401" s="336"/>
    </row>
    <row r="402" spans="2:58" hidden="1" outlineLevel="1" x14ac:dyDescent="0.35">
      <c r="B402" s="464" t="s">
        <v>64</v>
      </c>
      <c r="C402" s="465"/>
      <c r="D402" s="470">
        <f t="shared" si="119"/>
        <v>0</v>
      </c>
      <c r="E402" s="471"/>
      <c r="F402" s="471"/>
      <c r="G402" s="471"/>
      <c r="H402" s="471"/>
      <c r="I402" s="471"/>
      <c r="J402" s="472"/>
      <c r="K402" s="472"/>
      <c r="L402" s="472"/>
      <c r="M402" s="472"/>
      <c r="N402" s="472"/>
      <c r="O402" s="472"/>
      <c r="P402" s="472"/>
      <c r="Q402" s="472"/>
      <c r="R402" s="472"/>
      <c r="S402" s="472"/>
      <c r="T402" s="472"/>
      <c r="U402" s="511"/>
      <c r="V402" s="472"/>
      <c r="W402" s="472"/>
      <c r="X402" s="472"/>
      <c r="Y402" s="472"/>
      <c r="Z402" s="518"/>
      <c r="AA402" s="471"/>
      <c r="AB402" s="471"/>
      <c r="AC402" s="472"/>
      <c r="AD402" s="472"/>
      <c r="AE402" s="472"/>
      <c r="AF402" s="472"/>
      <c r="AG402" s="472"/>
      <c r="AH402" s="472"/>
      <c r="AI402" s="472"/>
      <c r="AJ402" s="472"/>
      <c r="AK402" s="472"/>
      <c r="AL402" s="472"/>
      <c r="AM402" s="472"/>
      <c r="AN402" s="472"/>
      <c r="AO402" s="472"/>
      <c r="AP402" s="472"/>
      <c r="AQ402" s="472"/>
      <c r="AR402" s="472"/>
      <c r="AS402" s="472"/>
      <c r="AT402" s="472"/>
      <c r="AU402" s="472"/>
      <c r="AV402" s="472"/>
      <c r="AW402" s="471"/>
      <c r="AX402" s="471"/>
      <c r="AY402" s="472"/>
      <c r="AZ402" s="472"/>
      <c r="BB402" s="470">
        <f t="shared" si="120"/>
        <v>0</v>
      </c>
      <c r="BC402" s="470">
        <f t="shared" si="121"/>
        <v>0</v>
      </c>
      <c r="BD402" s="444"/>
      <c r="BF402" s="336"/>
    </row>
    <row r="403" spans="2:58" hidden="1" outlineLevel="1" x14ac:dyDescent="0.35">
      <c r="B403" s="464" t="s">
        <v>65</v>
      </c>
      <c r="C403" s="465"/>
      <c r="D403" s="470">
        <f t="shared" si="119"/>
        <v>0</v>
      </c>
      <c r="E403" s="471">
        <f>'Common Adj'!$Q$65</f>
        <v>0</v>
      </c>
      <c r="F403" s="471"/>
      <c r="G403" s="471"/>
      <c r="H403" s="471"/>
      <c r="I403" s="471"/>
      <c r="J403" s="472"/>
      <c r="K403" s="472"/>
      <c r="L403" s="472"/>
      <c r="M403" s="472"/>
      <c r="N403" s="472"/>
      <c r="O403" s="472"/>
      <c r="P403" s="472"/>
      <c r="Q403" s="472"/>
      <c r="R403" s="472"/>
      <c r="S403" s="472"/>
      <c r="T403" s="472"/>
      <c r="U403" s="472"/>
      <c r="V403" s="472"/>
      <c r="W403" s="472"/>
      <c r="X403" s="472"/>
      <c r="Y403" s="472"/>
      <c r="Z403" s="518"/>
      <c r="AA403" s="471"/>
      <c r="AB403" s="471"/>
      <c r="AC403" s="472"/>
      <c r="AD403" s="472"/>
      <c r="AE403" s="472"/>
      <c r="AF403" s="472"/>
      <c r="AG403" s="472"/>
      <c r="AH403" s="472"/>
      <c r="AI403" s="472"/>
      <c r="AJ403" s="472"/>
      <c r="AK403" s="472"/>
      <c r="AL403" s="472"/>
      <c r="AM403" s="472"/>
      <c r="AN403" s="472"/>
      <c r="AO403" s="472"/>
      <c r="AP403" s="472"/>
      <c r="AQ403" s="472"/>
      <c r="AR403" s="472"/>
      <c r="AS403" s="472"/>
      <c r="AT403" s="472"/>
      <c r="AU403" s="472"/>
      <c r="AV403" s="472"/>
      <c r="AW403" s="471"/>
      <c r="AX403" s="471"/>
      <c r="AY403" s="472"/>
      <c r="AZ403" s="472"/>
      <c r="BB403" s="470">
        <f t="shared" si="120"/>
        <v>0</v>
      </c>
      <c r="BC403" s="470">
        <f t="shared" si="121"/>
        <v>0</v>
      </c>
      <c r="BD403" s="444"/>
      <c r="BF403" s="336"/>
    </row>
    <row r="404" spans="2:58" hidden="1" outlineLevel="1" x14ac:dyDescent="0.35">
      <c r="B404" s="464" t="s">
        <v>66</v>
      </c>
      <c r="C404" s="465"/>
      <c r="D404" s="470">
        <f t="shared" si="119"/>
        <v>0</v>
      </c>
      <c r="E404" s="341"/>
      <c r="F404" s="341"/>
      <c r="G404" s="341"/>
      <c r="H404" s="341"/>
      <c r="I404" s="341"/>
      <c r="Y404" s="472"/>
      <c r="Z404" s="518"/>
      <c r="AA404" s="471"/>
      <c r="AB404" s="341"/>
      <c r="AD404" s="265"/>
      <c r="AE404" s="265"/>
      <c r="AF404" s="265"/>
      <c r="AG404" s="265"/>
      <c r="AH404" s="265"/>
      <c r="AI404" s="265"/>
      <c r="AJ404" s="265"/>
      <c r="AK404" s="265"/>
      <c r="AL404" s="265"/>
      <c r="AM404" s="265"/>
      <c r="AN404" s="265"/>
      <c r="AO404" s="265"/>
      <c r="AS404" s="329"/>
      <c r="AT404" s="173"/>
      <c r="AW404" s="471"/>
      <c r="AX404" s="341"/>
      <c r="BB404" s="470">
        <f t="shared" si="120"/>
        <v>0</v>
      </c>
      <c r="BC404" s="470">
        <f t="shared" si="121"/>
        <v>0</v>
      </c>
      <c r="BD404" s="444"/>
      <c r="BF404" s="336"/>
    </row>
    <row r="405" spans="2:58" hidden="1" outlineLevel="1" x14ac:dyDescent="0.35">
      <c r="B405" s="464" t="s">
        <v>67</v>
      </c>
      <c r="C405" s="465"/>
      <c r="D405" s="470">
        <f t="shared" si="119"/>
        <v>0</v>
      </c>
      <c r="E405" s="471"/>
      <c r="F405" s="471"/>
      <c r="G405" s="471"/>
      <c r="H405" s="471"/>
      <c r="I405" s="471"/>
      <c r="J405" s="472"/>
      <c r="K405" s="472"/>
      <c r="L405" s="472"/>
      <c r="M405" s="472"/>
      <c r="N405" s="472"/>
      <c r="O405" s="472"/>
      <c r="P405" s="472"/>
      <c r="Q405" s="472"/>
      <c r="R405" s="472"/>
      <c r="S405" s="472"/>
      <c r="T405" s="472"/>
      <c r="U405" s="472"/>
      <c r="V405" s="472"/>
      <c r="W405" s="472"/>
      <c r="X405" s="472"/>
      <c r="Y405" s="472"/>
      <c r="Z405" s="720"/>
      <c r="AA405" s="471"/>
      <c r="AB405" s="471"/>
      <c r="AC405" s="472"/>
      <c r="AD405" s="472"/>
      <c r="AE405" s="472"/>
      <c r="AF405" s="472"/>
      <c r="AG405" s="472"/>
      <c r="AH405" s="472"/>
      <c r="AI405" s="472"/>
      <c r="AJ405" s="472"/>
      <c r="AK405" s="472"/>
      <c r="AL405" s="472"/>
      <c r="AM405" s="472"/>
      <c r="AN405" s="472"/>
      <c r="AO405" s="472"/>
      <c r="AP405" s="472"/>
      <c r="AQ405" s="472"/>
      <c r="AR405" s="472"/>
      <c r="AS405" s="472"/>
      <c r="AT405" s="472"/>
      <c r="AU405" s="472"/>
      <c r="AV405" s="472"/>
      <c r="AW405" s="471"/>
      <c r="AX405" s="471"/>
      <c r="AY405" s="472"/>
      <c r="AZ405" s="472"/>
      <c r="BB405" s="470">
        <f t="shared" si="120"/>
        <v>0</v>
      </c>
      <c r="BC405" s="470">
        <f t="shared" si="121"/>
        <v>0</v>
      </c>
      <c r="BD405" s="444"/>
      <c r="BF405" s="336"/>
    </row>
    <row r="406" spans="2:58" hidden="1" outlineLevel="1" x14ac:dyDescent="0.35">
      <c r="B406" s="480" t="s">
        <v>68</v>
      </c>
      <c r="C406" s="465"/>
      <c r="D406" s="470">
        <f t="shared" si="119"/>
        <v>0</v>
      </c>
      <c r="E406" s="471"/>
      <c r="F406" s="471"/>
      <c r="G406" s="471"/>
      <c r="H406" s="471"/>
      <c r="I406" s="471"/>
      <c r="J406" s="472"/>
      <c r="K406" s="472"/>
      <c r="L406" s="472"/>
      <c r="M406" s="472"/>
      <c r="N406" s="472"/>
      <c r="O406" s="472"/>
      <c r="P406" s="472"/>
      <c r="Q406" s="472"/>
      <c r="R406" s="472"/>
      <c r="S406" s="472"/>
      <c r="T406" s="472"/>
      <c r="U406" s="472"/>
      <c r="V406" s="472"/>
      <c r="W406" s="472"/>
      <c r="X406" s="472"/>
      <c r="Y406" s="472"/>
      <c r="Z406" s="720"/>
      <c r="AA406" s="471"/>
      <c r="AB406" s="471"/>
      <c r="AC406" s="472"/>
      <c r="AD406" s="472"/>
      <c r="AE406" s="472"/>
      <c r="AF406" s="472"/>
      <c r="AG406" s="472"/>
      <c r="AH406" s="472"/>
      <c r="AI406" s="472"/>
      <c r="AJ406" s="472"/>
      <c r="AK406" s="472"/>
      <c r="AL406" s="472"/>
      <c r="AM406" s="472"/>
      <c r="AN406" s="472"/>
      <c r="AO406" s="472"/>
      <c r="AP406" s="472"/>
      <c r="AQ406" s="472"/>
      <c r="AR406" s="472"/>
      <c r="AS406" s="472"/>
      <c r="AT406" s="472"/>
      <c r="AU406" s="472"/>
      <c r="AV406" s="472"/>
      <c r="AW406" s="471"/>
      <c r="AX406" s="471"/>
      <c r="AY406" s="472"/>
      <c r="AZ406" s="472"/>
      <c r="BB406" s="470">
        <f t="shared" si="120"/>
        <v>0</v>
      </c>
      <c r="BC406" s="470">
        <f t="shared" si="121"/>
        <v>0</v>
      </c>
      <c r="BD406" s="444"/>
      <c r="BF406" s="336"/>
    </row>
    <row r="407" spans="2:58" hidden="1" outlineLevel="1" x14ac:dyDescent="0.35">
      <c r="B407" s="464" t="s">
        <v>69</v>
      </c>
      <c r="C407" s="465"/>
      <c r="D407" s="470">
        <f t="shared" si="119"/>
        <v>0</v>
      </c>
      <c r="E407" s="471"/>
      <c r="F407" s="471"/>
      <c r="G407" s="471"/>
      <c r="H407" s="471"/>
      <c r="I407" s="471"/>
      <c r="J407" s="472"/>
      <c r="K407" s="472"/>
      <c r="L407" s="472"/>
      <c r="M407" s="472"/>
      <c r="N407" s="472"/>
      <c r="O407" s="472"/>
      <c r="P407" s="472"/>
      <c r="Q407" s="472"/>
      <c r="R407" s="472"/>
      <c r="S407" s="472"/>
      <c r="T407" s="472"/>
      <c r="U407" s="472"/>
      <c r="V407" s="472"/>
      <c r="W407" s="472"/>
      <c r="X407" s="472"/>
      <c r="Y407" s="472"/>
      <c r="Z407" s="518"/>
      <c r="AA407" s="471"/>
      <c r="AB407" s="471"/>
      <c r="AC407" s="472"/>
      <c r="AD407" s="472"/>
      <c r="AE407" s="472"/>
      <c r="AF407" s="472"/>
      <c r="AG407" s="472"/>
      <c r="AH407" s="472"/>
      <c r="AI407" s="472"/>
      <c r="AJ407" s="472"/>
      <c r="AK407" s="472"/>
      <c r="AL407" s="472"/>
      <c r="AM407" s="472"/>
      <c r="AN407" s="472"/>
      <c r="AO407" s="472"/>
      <c r="AP407" s="472"/>
      <c r="AQ407" s="472"/>
      <c r="AR407" s="472"/>
      <c r="AS407" s="472"/>
      <c r="AT407" s="472"/>
      <c r="AU407" s="472"/>
      <c r="AV407" s="511"/>
      <c r="AW407" s="471"/>
      <c r="AX407" s="471"/>
      <c r="AY407" s="472"/>
      <c r="AZ407" s="472"/>
      <c r="BB407" s="470">
        <f t="shared" si="120"/>
        <v>0</v>
      </c>
      <c r="BC407" s="470">
        <f t="shared" si="121"/>
        <v>0</v>
      </c>
      <c r="BD407" s="444"/>
      <c r="BF407" s="336"/>
    </row>
    <row r="408" spans="2:58" hidden="1" outlineLevel="1" x14ac:dyDescent="0.35">
      <c r="B408" s="464" t="s">
        <v>70</v>
      </c>
      <c r="C408" s="465"/>
      <c r="D408" s="470">
        <f t="shared" si="119"/>
        <v>0</v>
      </c>
      <c r="E408" s="471">
        <f>'Common Adj'!$Q$66</f>
        <v>0</v>
      </c>
      <c r="F408" s="471"/>
      <c r="G408" s="471"/>
      <c r="H408" s="471"/>
      <c r="I408" s="471"/>
      <c r="J408" s="472"/>
      <c r="K408" s="472"/>
      <c r="L408" s="472"/>
      <c r="M408" s="472"/>
      <c r="N408" s="472"/>
      <c r="O408" s="472"/>
      <c r="P408" s="472"/>
      <c r="Q408" s="472"/>
      <c r="R408" s="472"/>
      <c r="S408" s="472"/>
      <c r="T408" s="472"/>
      <c r="U408" s="472"/>
      <c r="V408" s="472"/>
      <c r="W408" s="472"/>
      <c r="X408" s="472"/>
      <c r="Y408" s="472"/>
      <c r="Z408" s="720"/>
      <c r="AA408" s="471"/>
      <c r="AB408" s="471"/>
      <c r="AC408" s="472"/>
      <c r="AD408" s="472"/>
      <c r="AE408" s="472"/>
      <c r="AF408" s="472"/>
      <c r="AG408" s="472"/>
      <c r="AH408" s="472"/>
      <c r="AI408" s="472"/>
      <c r="AJ408" s="472"/>
      <c r="AK408" s="472"/>
      <c r="AL408" s="472"/>
      <c r="AM408" s="472"/>
      <c r="AN408" s="472"/>
      <c r="AO408" s="472"/>
      <c r="AP408" s="472"/>
      <c r="AQ408" s="472"/>
      <c r="AR408" s="472"/>
      <c r="AS408" s="472"/>
      <c r="AT408" s="472"/>
      <c r="AU408" s="472"/>
      <c r="AV408" s="472"/>
      <c r="AW408" s="471"/>
      <c r="AX408" s="471"/>
      <c r="AY408" s="472"/>
      <c r="AZ408" s="472"/>
      <c r="BB408" s="470">
        <f t="shared" si="120"/>
        <v>0</v>
      </c>
      <c r="BC408" s="470">
        <f t="shared" si="121"/>
        <v>0</v>
      </c>
      <c r="BD408" s="444"/>
      <c r="BF408" s="336"/>
    </row>
    <row r="409" spans="2:58" hidden="1" outlineLevel="1" x14ac:dyDescent="0.35">
      <c r="B409" s="464" t="s">
        <v>71</v>
      </c>
      <c r="C409" s="465"/>
      <c r="D409" s="470">
        <f t="shared" si="119"/>
        <v>0</v>
      </c>
      <c r="E409" s="471">
        <f>'Common Adj'!$Q$70</f>
        <v>0</v>
      </c>
      <c r="F409" s="471"/>
      <c r="G409" s="471"/>
      <c r="H409" s="471"/>
      <c r="I409" s="471">
        <f>'Common Adj'!CK23</f>
        <v>0</v>
      </c>
      <c r="J409" s="472"/>
      <c r="K409" s="472"/>
      <c r="L409" s="472"/>
      <c r="M409" s="472"/>
      <c r="N409" s="472"/>
      <c r="O409" s="472"/>
      <c r="P409" s="472"/>
      <c r="Q409" s="472"/>
      <c r="R409" s="472"/>
      <c r="S409" s="472"/>
      <c r="T409" s="472"/>
      <c r="U409" s="472"/>
      <c r="V409" s="472"/>
      <c r="W409" s="472"/>
      <c r="X409" s="472"/>
      <c r="Y409" s="472"/>
      <c r="Z409" s="720"/>
      <c r="AA409" s="471"/>
      <c r="AB409" s="471"/>
      <c r="AC409" s="472"/>
      <c r="AD409" s="472"/>
      <c r="AE409" s="472"/>
      <c r="AF409" s="472"/>
      <c r="AG409" s="472"/>
      <c r="AH409" s="472"/>
      <c r="AI409" s="511"/>
      <c r="AJ409" s="511"/>
      <c r="AK409" s="511"/>
      <c r="AL409" s="511"/>
      <c r="AM409" s="511"/>
      <c r="AN409" s="511"/>
      <c r="AO409" s="511"/>
      <c r="AP409" s="472"/>
      <c r="AQ409" s="472"/>
      <c r="AR409" s="472"/>
      <c r="AS409" s="472"/>
      <c r="AT409" s="481"/>
      <c r="AU409" s="472"/>
      <c r="AV409" s="511"/>
      <c r="AW409" s="471"/>
      <c r="AX409" s="471"/>
      <c r="AY409" s="472"/>
      <c r="AZ409" s="472"/>
      <c r="BB409" s="470">
        <f t="shared" si="120"/>
        <v>0</v>
      </c>
      <c r="BC409" s="470">
        <f t="shared" si="121"/>
        <v>0</v>
      </c>
      <c r="BD409" s="444"/>
      <c r="BF409" s="336"/>
    </row>
    <row r="410" spans="2:58" hidden="1" outlineLevel="1" x14ac:dyDescent="0.35">
      <c r="B410" s="329" t="s">
        <v>72</v>
      </c>
      <c r="C410" s="465"/>
      <c r="D410" s="470">
        <f t="shared" si="119"/>
        <v>0</v>
      </c>
      <c r="E410" s="471"/>
      <c r="F410" s="471"/>
      <c r="G410" s="471"/>
      <c r="H410" s="471"/>
      <c r="I410" s="471"/>
      <c r="J410" s="472"/>
      <c r="K410" s="472"/>
      <c r="L410" s="472"/>
      <c r="M410" s="472"/>
      <c r="N410" s="472"/>
      <c r="O410" s="472"/>
      <c r="P410" s="472"/>
      <c r="Q410" s="472"/>
      <c r="R410" s="472"/>
      <c r="S410" s="472"/>
      <c r="T410" s="472"/>
      <c r="U410" s="472"/>
      <c r="V410" s="472"/>
      <c r="W410" s="472"/>
      <c r="X410" s="472"/>
      <c r="Y410" s="472"/>
      <c r="Z410" s="471"/>
      <c r="AA410" s="471"/>
      <c r="AB410" s="471"/>
      <c r="AC410" s="472"/>
      <c r="AD410" s="472"/>
      <c r="AE410" s="472"/>
      <c r="AF410" s="472"/>
      <c r="AG410" s="472"/>
      <c r="AH410" s="472"/>
      <c r="AI410" s="472"/>
      <c r="AJ410" s="472"/>
      <c r="AK410" s="472"/>
      <c r="AL410" s="472"/>
      <c r="AM410" s="472"/>
      <c r="AN410" s="472"/>
      <c r="AO410" s="472"/>
      <c r="AP410" s="472"/>
      <c r="AQ410" s="472"/>
      <c r="AR410" s="472"/>
      <c r="AS410" s="472"/>
      <c r="AT410" s="472"/>
      <c r="AU410" s="472"/>
      <c r="AV410" s="472"/>
      <c r="AW410" s="471"/>
      <c r="AX410" s="471"/>
      <c r="AY410" s="472"/>
      <c r="AZ410" s="472"/>
      <c r="BB410" s="470">
        <f t="shared" si="120"/>
        <v>0</v>
      </c>
      <c r="BC410" s="470">
        <f t="shared" si="121"/>
        <v>0</v>
      </c>
      <c r="BD410" s="444"/>
      <c r="BF410" s="336"/>
    </row>
    <row r="411" spans="2:58" hidden="1" outlineLevel="1" x14ac:dyDescent="0.35">
      <c r="B411" s="464" t="s">
        <v>2</v>
      </c>
      <c r="C411" s="465"/>
      <c r="D411" s="477">
        <f>SUM(D395:D410)</f>
        <v>0</v>
      </c>
      <c r="E411" s="479">
        <f t="shared" ref="E411:BC411" si="122">SUM(E395:E410)</f>
        <v>0</v>
      </c>
      <c r="F411" s="479">
        <f t="shared" si="122"/>
        <v>0</v>
      </c>
      <c r="G411" s="479">
        <f t="shared" si="122"/>
        <v>0</v>
      </c>
      <c r="H411" s="479">
        <f t="shared" si="122"/>
        <v>0</v>
      </c>
      <c r="I411" s="479">
        <f t="shared" si="122"/>
        <v>0</v>
      </c>
      <c r="J411" s="479">
        <f t="shared" si="122"/>
        <v>0</v>
      </c>
      <c r="K411" s="479">
        <f t="shared" si="122"/>
        <v>0</v>
      </c>
      <c r="L411" s="479">
        <f t="shared" si="122"/>
        <v>0</v>
      </c>
      <c r="M411" s="479">
        <f t="shared" si="122"/>
        <v>0</v>
      </c>
      <c r="N411" s="479">
        <f t="shared" si="122"/>
        <v>0</v>
      </c>
      <c r="O411" s="479">
        <f t="shared" si="122"/>
        <v>0</v>
      </c>
      <c r="P411" s="479">
        <f t="shared" si="122"/>
        <v>0</v>
      </c>
      <c r="Q411" s="479">
        <f t="shared" si="122"/>
        <v>0</v>
      </c>
      <c r="R411" s="479">
        <f t="shared" si="122"/>
        <v>0</v>
      </c>
      <c r="S411" s="479">
        <f t="shared" si="122"/>
        <v>0</v>
      </c>
      <c r="T411" s="479">
        <f t="shared" si="122"/>
        <v>0</v>
      </c>
      <c r="U411" s="479">
        <f t="shared" si="122"/>
        <v>0</v>
      </c>
      <c r="V411" s="479">
        <f t="shared" si="122"/>
        <v>0</v>
      </c>
      <c r="W411" s="479">
        <f t="shared" si="122"/>
        <v>0</v>
      </c>
      <c r="X411" s="479">
        <f t="shared" si="122"/>
        <v>0</v>
      </c>
      <c r="Y411" s="479">
        <f t="shared" si="122"/>
        <v>0</v>
      </c>
      <c r="Z411" s="479">
        <f t="shared" si="122"/>
        <v>0</v>
      </c>
      <c r="AA411" s="478">
        <f t="shared" si="122"/>
        <v>0</v>
      </c>
      <c r="AB411" s="478">
        <f t="shared" si="122"/>
        <v>0</v>
      </c>
      <c r="AC411" s="479">
        <f t="shared" si="122"/>
        <v>0</v>
      </c>
      <c r="AD411" s="479">
        <f t="shared" si="122"/>
        <v>0</v>
      </c>
      <c r="AE411" s="479">
        <f t="shared" si="122"/>
        <v>0</v>
      </c>
      <c r="AF411" s="479">
        <f t="shared" si="122"/>
        <v>0</v>
      </c>
      <c r="AG411" s="479">
        <f t="shared" si="122"/>
        <v>0</v>
      </c>
      <c r="AH411" s="479">
        <f t="shared" si="122"/>
        <v>0</v>
      </c>
      <c r="AI411" s="523">
        <f t="shared" si="122"/>
        <v>0</v>
      </c>
      <c r="AJ411" s="523"/>
      <c r="AK411" s="523"/>
      <c r="AL411" s="523"/>
      <c r="AM411" s="523"/>
      <c r="AN411" s="523"/>
      <c r="AO411" s="523"/>
      <c r="AP411" s="479">
        <f t="shared" si="122"/>
        <v>0</v>
      </c>
      <c r="AQ411" s="479">
        <f t="shared" si="122"/>
        <v>0</v>
      </c>
      <c r="AR411" s="479">
        <f t="shared" si="122"/>
        <v>0</v>
      </c>
      <c r="AS411" s="479">
        <f t="shared" si="122"/>
        <v>0</v>
      </c>
      <c r="AT411" s="479"/>
      <c r="AU411" s="479"/>
      <c r="AV411" s="479"/>
      <c r="AW411" s="478"/>
      <c r="AX411" s="478"/>
      <c r="AY411" s="479"/>
      <c r="AZ411" s="479"/>
      <c r="BB411" s="477">
        <f t="shared" si="122"/>
        <v>0</v>
      </c>
      <c r="BC411" s="477">
        <f t="shared" si="122"/>
        <v>0</v>
      </c>
      <c r="BD411" s="444"/>
      <c r="BF411" s="336"/>
    </row>
    <row r="412" spans="2:58" hidden="1" outlineLevel="1" x14ac:dyDescent="0.35">
      <c r="C412" s="465"/>
      <c r="D412" s="482"/>
      <c r="E412" s="483"/>
      <c r="F412" s="483"/>
      <c r="G412" s="483"/>
      <c r="H412" s="483"/>
      <c r="I412" s="483"/>
      <c r="J412" s="483"/>
      <c r="K412" s="483"/>
      <c r="L412" s="483"/>
      <c r="M412" s="483"/>
      <c r="N412" s="483"/>
      <c r="O412" s="483"/>
      <c r="P412" s="483"/>
      <c r="Q412" s="483"/>
      <c r="R412" s="483"/>
      <c r="S412" s="483"/>
      <c r="T412" s="483"/>
      <c r="U412" s="483"/>
      <c r="V412" s="483"/>
      <c r="W412" s="483"/>
      <c r="X412" s="483"/>
      <c r="Y412" s="483"/>
      <c r="Z412" s="483"/>
      <c r="AA412" s="363"/>
      <c r="AB412" s="363"/>
      <c r="AC412" s="483"/>
      <c r="AD412" s="483"/>
      <c r="AE412" s="483"/>
      <c r="AF412" s="483"/>
      <c r="AG412" s="483"/>
      <c r="AH412" s="483"/>
      <c r="AI412" s="483"/>
      <c r="AJ412" s="483"/>
      <c r="AK412" s="483"/>
      <c r="AL412" s="483"/>
      <c r="AM412" s="483"/>
      <c r="AN412" s="483"/>
      <c r="AO412" s="483"/>
      <c r="AP412" s="483"/>
      <c r="AQ412" s="483"/>
      <c r="AR412" s="483"/>
      <c r="AS412" s="483"/>
      <c r="AT412" s="483"/>
      <c r="AU412" s="483"/>
      <c r="AV412" s="483"/>
      <c r="AW412" s="363"/>
      <c r="AX412" s="363"/>
      <c r="AY412" s="483"/>
      <c r="AZ412" s="483"/>
      <c r="BB412" s="482"/>
      <c r="BC412" s="482"/>
      <c r="BD412" s="444"/>
      <c r="BF412" s="336"/>
    </row>
    <row r="413" spans="2:58" ht="15" hidden="1" outlineLevel="1" thickBot="1" x14ac:dyDescent="0.4">
      <c r="B413" s="329" t="s">
        <v>4</v>
      </c>
      <c r="C413" s="465"/>
      <c r="D413" s="484">
        <f t="shared" ref="D413:BC413" si="123">+D386-D411</f>
        <v>0</v>
      </c>
      <c r="E413" s="486">
        <f t="shared" si="123"/>
        <v>0</v>
      </c>
      <c r="F413" s="486">
        <f t="shared" si="123"/>
        <v>0</v>
      </c>
      <c r="G413" s="486">
        <f t="shared" si="123"/>
        <v>0</v>
      </c>
      <c r="H413" s="486">
        <f t="shared" si="123"/>
        <v>0</v>
      </c>
      <c r="I413" s="486">
        <f t="shared" si="123"/>
        <v>0</v>
      </c>
      <c r="J413" s="486">
        <f t="shared" si="123"/>
        <v>0</v>
      </c>
      <c r="K413" s="486">
        <f t="shared" si="123"/>
        <v>0</v>
      </c>
      <c r="L413" s="486">
        <f t="shared" si="123"/>
        <v>0</v>
      </c>
      <c r="M413" s="486">
        <f t="shared" si="123"/>
        <v>0</v>
      </c>
      <c r="N413" s="486">
        <f t="shared" si="123"/>
        <v>0</v>
      </c>
      <c r="O413" s="486">
        <f t="shared" si="123"/>
        <v>0</v>
      </c>
      <c r="P413" s="486">
        <f t="shared" si="123"/>
        <v>0</v>
      </c>
      <c r="Q413" s="486">
        <f t="shared" si="123"/>
        <v>0</v>
      </c>
      <c r="R413" s="486">
        <f t="shared" si="123"/>
        <v>0</v>
      </c>
      <c r="S413" s="486">
        <f t="shared" si="123"/>
        <v>0</v>
      </c>
      <c r="T413" s="486">
        <f t="shared" si="123"/>
        <v>0</v>
      </c>
      <c r="U413" s="486">
        <f t="shared" si="123"/>
        <v>0</v>
      </c>
      <c r="V413" s="486">
        <f t="shared" si="123"/>
        <v>0</v>
      </c>
      <c r="W413" s="486">
        <f t="shared" si="123"/>
        <v>0</v>
      </c>
      <c r="X413" s="486">
        <f t="shared" si="123"/>
        <v>0</v>
      </c>
      <c r="Y413" s="486">
        <f t="shared" si="123"/>
        <v>0</v>
      </c>
      <c r="Z413" s="486">
        <f t="shared" si="123"/>
        <v>0</v>
      </c>
      <c r="AA413" s="485">
        <f t="shared" si="123"/>
        <v>0</v>
      </c>
      <c r="AB413" s="485">
        <f t="shared" si="123"/>
        <v>0</v>
      </c>
      <c r="AC413" s="486">
        <f t="shared" si="123"/>
        <v>0</v>
      </c>
      <c r="AD413" s="486">
        <f t="shared" si="123"/>
        <v>0</v>
      </c>
      <c r="AE413" s="486">
        <f t="shared" si="123"/>
        <v>0</v>
      </c>
      <c r="AF413" s="486">
        <f t="shared" si="123"/>
        <v>0</v>
      </c>
      <c r="AG413" s="486">
        <f t="shared" si="123"/>
        <v>0</v>
      </c>
      <c r="AH413" s="486">
        <f t="shared" si="123"/>
        <v>0</v>
      </c>
      <c r="AI413" s="524">
        <f t="shared" si="123"/>
        <v>0</v>
      </c>
      <c r="AJ413" s="524"/>
      <c r="AK413" s="524"/>
      <c r="AL413" s="524"/>
      <c r="AM413" s="524"/>
      <c r="AN413" s="524"/>
      <c r="AO413" s="524"/>
      <c r="AP413" s="486">
        <f t="shared" si="123"/>
        <v>0</v>
      </c>
      <c r="AQ413" s="486">
        <f t="shared" si="123"/>
        <v>0</v>
      </c>
      <c r="AR413" s="486">
        <f t="shared" si="123"/>
        <v>0</v>
      </c>
      <c r="AS413" s="486">
        <f t="shared" si="123"/>
        <v>0</v>
      </c>
      <c r="AT413" s="486"/>
      <c r="AU413" s="486"/>
      <c r="AV413" s="486"/>
      <c r="AW413" s="485"/>
      <c r="AX413" s="485"/>
      <c r="AY413" s="486"/>
      <c r="AZ413" s="486"/>
      <c r="BB413" s="484">
        <f t="shared" si="123"/>
        <v>0</v>
      </c>
      <c r="BC413" s="484">
        <f t="shared" si="123"/>
        <v>0</v>
      </c>
      <c r="BD413" s="444"/>
      <c r="BF413" s="336"/>
    </row>
    <row r="414" spans="2:58" ht="15" hidden="1" outlineLevel="1" thickTop="1" x14ac:dyDescent="0.35">
      <c r="B414"/>
      <c r="C414" s="465"/>
      <c r="D414" s="219"/>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416"/>
      <c r="AA414" s="416"/>
      <c r="AB414" s="4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416"/>
      <c r="AX414" s="416"/>
      <c r="AY414" s="116"/>
      <c r="AZ414" s="116"/>
      <c r="BB414" s="219"/>
      <c r="BC414" s="219"/>
      <c r="BD414" s="444"/>
      <c r="BF414" s="336"/>
    </row>
    <row r="415" spans="2:58" hidden="1" outlineLevel="1" x14ac:dyDescent="0.35">
      <c r="B415" s="464" t="s">
        <v>124</v>
      </c>
      <c r="C415" s="465"/>
      <c r="D415" s="476">
        <f t="shared" ref="D415:BC415" si="124">D426</f>
        <v>0</v>
      </c>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420"/>
      <c r="AA415" s="420"/>
      <c r="AB415" s="420"/>
      <c r="AC415" s="173"/>
      <c r="AD415" s="173"/>
      <c r="AE415" s="173"/>
      <c r="AF415" s="173"/>
      <c r="AG415" s="173"/>
      <c r="AH415" s="173"/>
      <c r="AI415" s="173"/>
      <c r="AJ415" s="173"/>
      <c r="AK415" s="173"/>
      <c r="AL415" s="173"/>
      <c r="AM415" s="173"/>
      <c r="AN415" s="173"/>
      <c r="AO415" s="173"/>
      <c r="AP415" s="173"/>
      <c r="AQ415" s="173">
        <f>AQ426</f>
        <v>0</v>
      </c>
      <c r="AR415" s="173"/>
      <c r="AS415" s="173"/>
      <c r="AT415" s="173"/>
      <c r="AU415" s="173"/>
      <c r="AV415" s="173"/>
      <c r="AW415" s="420"/>
      <c r="AX415" s="420"/>
      <c r="AY415" s="173"/>
      <c r="AZ415" s="173"/>
      <c r="BB415" s="476">
        <f t="shared" si="124"/>
        <v>0</v>
      </c>
      <c r="BC415" s="476">
        <f t="shared" si="124"/>
        <v>0</v>
      </c>
      <c r="BD415" s="444"/>
      <c r="BF415" s="336"/>
    </row>
    <row r="416" spans="2:58" hidden="1" outlineLevel="1" x14ac:dyDescent="0.35">
      <c r="C416" s="465"/>
      <c r="D416" s="466"/>
      <c r="Z416" s="341"/>
      <c r="AA416" s="341"/>
      <c r="AB416" s="341"/>
      <c r="AS416" s="329"/>
      <c r="AW416" s="341"/>
      <c r="AX416" s="341"/>
      <c r="BB416" s="466"/>
      <c r="BC416" s="466"/>
      <c r="BD416" s="444"/>
      <c r="BF416" s="336"/>
    </row>
    <row r="417" spans="2:58" hidden="1" outlineLevel="1" x14ac:dyDescent="0.35">
      <c r="B417" s="464" t="s">
        <v>125</v>
      </c>
      <c r="C417" s="465"/>
      <c r="D417" s="488" t="e">
        <f>+D413/D415</f>
        <v>#DIV/0!</v>
      </c>
      <c r="E417" s="472"/>
      <c r="F417" s="472"/>
      <c r="G417" s="472"/>
      <c r="H417" s="472"/>
      <c r="I417" s="472"/>
      <c r="J417" s="472"/>
      <c r="K417" s="472"/>
      <c r="L417" s="472"/>
      <c r="M417" s="472"/>
      <c r="N417" s="472"/>
      <c r="O417" s="472"/>
      <c r="P417" s="472"/>
      <c r="Q417" s="472"/>
      <c r="R417" s="472"/>
      <c r="S417" s="472"/>
      <c r="T417" s="472"/>
      <c r="U417" s="472"/>
      <c r="V417" s="472"/>
      <c r="W417" s="472"/>
      <c r="X417" s="472"/>
      <c r="Y417" s="472"/>
      <c r="Z417" s="471"/>
      <c r="AA417" s="471"/>
      <c r="AB417" s="471"/>
      <c r="AC417" s="472"/>
      <c r="AD417" s="472"/>
      <c r="AE417" s="472"/>
      <c r="AF417" s="472"/>
      <c r="AG417" s="472"/>
      <c r="AH417" s="472"/>
      <c r="AI417" s="472"/>
      <c r="AJ417" s="472"/>
      <c r="AK417" s="472"/>
      <c r="AL417" s="472"/>
      <c r="AM417" s="472"/>
      <c r="AN417" s="472"/>
      <c r="AO417" s="472"/>
      <c r="AP417" s="472"/>
      <c r="AQ417" s="472"/>
      <c r="AR417" s="472"/>
      <c r="AS417" s="472"/>
      <c r="AT417" s="472"/>
      <c r="AU417" s="472"/>
      <c r="AV417" s="472"/>
      <c r="AW417" s="471"/>
      <c r="AX417" s="471"/>
      <c r="AY417" s="472"/>
      <c r="AZ417" s="472"/>
      <c r="BB417" s="488"/>
      <c r="BC417" s="488"/>
      <c r="BD417" s="444"/>
      <c r="BF417" s="336"/>
    </row>
    <row r="418" spans="2:58" hidden="1" outlineLevel="1" x14ac:dyDescent="0.35">
      <c r="C418" s="465"/>
      <c r="D418" s="470"/>
      <c r="E418" s="472"/>
      <c r="F418" s="472"/>
      <c r="G418" s="472"/>
      <c r="H418" s="472"/>
      <c r="I418" s="472"/>
      <c r="J418" s="472"/>
      <c r="K418" s="472"/>
      <c r="L418" s="472"/>
      <c r="M418" s="472"/>
      <c r="N418" s="472"/>
      <c r="O418" s="472"/>
      <c r="P418" s="472"/>
      <c r="Q418" s="472"/>
      <c r="R418" s="472"/>
      <c r="S418" s="472"/>
      <c r="T418" s="472"/>
      <c r="U418" s="472"/>
      <c r="V418" s="472"/>
      <c r="W418" s="472"/>
      <c r="X418" s="472"/>
      <c r="Y418" s="472"/>
      <c r="Z418" s="471"/>
      <c r="AA418" s="471"/>
      <c r="AB418" s="471"/>
      <c r="AC418" s="472"/>
      <c r="AD418" s="472"/>
      <c r="AE418" s="472"/>
      <c r="AF418" s="472"/>
      <c r="AG418" s="472"/>
      <c r="AH418" s="472"/>
      <c r="AI418" s="472"/>
      <c r="AJ418" s="472"/>
      <c r="AK418" s="472"/>
      <c r="AL418" s="472"/>
      <c r="AM418" s="472"/>
      <c r="AN418" s="472"/>
      <c r="AO418" s="472"/>
      <c r="AP418" s="472"/>
      <c r="AQ418" s="472"/>
      <c r="AR418" s="472"/>
      <c r="AS418" s="472"/>
      <c r="AT418" s="472"/>
      <c r="AU418" s="472"/>
      <c r="AV418" s="472"/>
      <c r="AW418" s="471"/>
      <c r="AX418" s="471"/>
      <c r="AY418" s="472"/>
      <c r="AZ418" s="472"/>
      <c r="BB418" s="470"/>
      <c r="BC418" s="470"/>
      <c r="BD418" s="444"/>
      <c r="BF418" s="336"/>
    </row>
    <row r="419" spans="2:58" hidden="1" outlineLevel="1" x14ac:dyDescent="0.35">
      <c r="B419" s="329" t="s">
        <v>126</v>
      </c>
      <c r="C419" s="465"/>
      <c r="D419" s="470"/>
      <c r="E419" s="472"/>
      <c r="F419" s="472"/>
      <c r="G419" s="472"/>
      <c r="H419" s="472"/>
      <c r="I419" s="472"/>
      <c r="J419" s="472"/>
      <c r="K419" s="472"/>
      <c r="L419" s="472"/>
      <c r="M419" s="472"/>
      <c r="N419" s="472"/>
      <c r="O419" s="472"/>
      <c r="P419" s="472"/>
      <c r="Q419" s="472"/>
      <c r="R419" s="472"/>
      <c r="S419" s="472"/>
      <c r="T419" s="472"/>
      <c r="U419" s="472"/>
      <c r="V419" s="472"/>
      <c r="W419" s="472"/>
      <c r="X419" s="472"/>
      <c r="Y419" s="472"/>
      <c r="Z419" s="471"/>
      <c r="AA419" s="471"/>
      <c r="AB419" s="471"/>
      <c r="AC419" s="472"/>
      <c r="AD419" s="472"/>
      <c r="AE419" s="472"/>
      <c r="AF419" s="472"/>
      <c r="AG419" s="472"/>
      <c r="AH419" s="472"/>
      <c r="AI419" s="472"/>
      <c r="AJ419" s="472"/>
      <c r="AK419" s="472"/>
      <c r="AL419" s="472"/>
      <c r="AM419" s="472"/>
      <c r="AN419" s="472"/>
      <c r="AO419" s="472"/>
      <c r="AP419" s="472"/>
      <c r="AQ419" s="472"/>
      <c r="AR419" s="472"/>
      <c r="AS419" s="472"/>
      <c r="AT419" s="472"/>
      <c r="AU419" s="472"/>
      <c r="AV419" s="472"/>
      <c r="AW419" s="471"/>
      <c r="AX419" s="471"/>
      <c r="AY419" s="472"/>
      <c r="AZ419" s="472"/>
      <c r="BB419" s="470"/>
      <c r="BC419" s="470"/>
      <c r="BD419" s="444"/>
      <c r="BF419" s="336"/>
    </row>
    <row r="420" spans="2:58" hidden="1" outlineLevel="1" x14ac:dyDescent="0.35">
      <c r="B420" s="490" t="s">
        <v>20</v>
      </c>
      <c r="C420" s="465"/>
      <c r="D420" s="476">
        <f t="shared" ref="D420:D425" si="125">+BC359</f>
        <v>0</v>
      </c>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420"/>
      <c r="AA420" s="420"/>
      <c r="AB420" s="420"/>
      <c r="AC420" s="173"/>
      <c r="AD420" s="173">
        <f>'Common Adj'!QZ17</f>
        <v>0</v>
      </c>
      <c r="AE420" s="173"/>
      <c r="AF420" s="173"/>
      <c r="AG420" s="173"/>
      <c r="AH420" s="173"/>
      <c r="AI420" s="173"/>
      <c r="AJ420" s="173"/>
      <c r="AK420" s="173"/>
      <c r="AL420" s="173"/>
      <c r="AM420" s="173"/>
      <c r="AN420" s="173"/>
      <c r="AO420" s="173"/>
      <c r="AP420" s="173"/>
      <c r="AQ420" s="173"/>
      <c r="AR420" s="173"/>
      <c r="AS420" s="173"/>
      <c r="AT420" s="173"/>
      <c r="AU420" s="173"/>
      <c r="AV420" s="173"/>
      <c r="AW420" s="420"/>
      <c r="AX420" s="420"/>
      <c r="AY420" s="173"/>
      <c r="AZ420" s="173"/>
      <c r="BB420" s="476">
        <f t="shared" ref="BB420:BB425" si="126">SUM(E420:AZ420)</f>
        <v>0</v>
      </c>
      <c r="BC420" s="476">
        <f t="shared" ref="BC420:BC425" si="127">+BB420+D420</f>
        <v>0</v>
      </c>
      <c r="BD420" s="444"/>
      <c r="BF420" s="336"/>
    </row>
    <row r="421" spans="2:58" hidden="1" outlineLevel="1" x14ac:dyDescent="0.35">
      <c r="B421" s="490" t="s">
        <v>21</v>
      </c>
      <c r="C421" s="465"/>
      <c r="D421" s="470">
        <f t="shared" si="125"/>
        <v>0</v>
      </c>
      <c r="E421" s="472"/>
      <c r="F421" s="472"/>
      <c r="G421" s="472"/>
      <c r="H421" s="472"/>
      <c r="I421" s="472"/>
      <c r="J421" s="472"/>
      <c r="K421" s="472"/>
      <c r="L421" s="472"/>
      <c r="M421" s="472"/>
      <c r="N421" s="472"/>
      <c r="O421" s="472"/>
      <c r="P421" s="472"/>
      <c r="Q421" s="472"/>
      <c r="R421" s="472"/>
      <c r="S421" s="472"/>
      <c r="T421" s="472"/>
      <c r="U421" s="472"/>
      <c r="V421" s="472"/>
      <c r="W421" s="472"/>
      <c r="X421" s="472"/>
      <c r="Y421" s="472"/>
      <c r="Z421" s="471"/>
      <c r="AA421" s="471"/>
      <c r="AB421" s="471"/>
      <c r="AC421" s="472"/>
      <c r="AD421" s="472">
        <f>'Common Adj'!QZ18</f>
        <v>0</v>
      </c>
      <c r="AE421" s="472"/>
      <c r="AF421" s="472"/>
      <c r="AG421" s="472"/>
      <c r="AH421" s="472"/>
      <c r="AI421" s="472"/>
      <c r="AJ421" s="472"/>
      <c r="AK421" s="472"/>
      <c r="AL421" s="472"/>
      <c r="AM421" s="472"/>
      <c r="AN421" s="472"/>
      <c r="AO421" s="472"/>
      <c r="AP421" s="472"/>
      <c r="AQ421" s="472"/>
      <c r="AR421" s="472"/>
      <c r="AS421" s="472"/>
      <c r="AT421" s="481"/>
      <c r="AU421" s="472"/>
      <c r="AV421" s="472"/>
      <c r="AW421" s="471"/>
      <c r="AX421" s="471"/>
      <c r="AY421" s="472"/>
      <c r="AZ421" s="472"/>
      <c r="BB421" s="470">
        <f t="shared" si="126"/>
        <v>0</v>
      </c>
      <c r="BC421" s="470">
        <f t="shared" si="127"/>
        <v>0</v>
      </c>
      <c r="BD421" s="444"/>
      <c r="BF421" s="336"/>
    </row>
    <row r="422" spans="2:58" hidden="1" outlineLevel="1" x14ac:dyDescent="0.35">
      <c r="B422" s="329" t="s">
        <v>127</v>
      </c>
      <c r="C422" s="465"/>
      <c r="D422" s="470">
        <f t="shared" si="125"/>
        <v>0</v>
      </c>
      <c r="E422" s="472"/>
      <c r="F422" s="472"/>
      <c r="G422" s="472"/>
      <c r="H422" s="472"/>
      <c r="I422" s="472"/>
      <c r="J422" s="472"/>
      <c r="K422" s="472"/>
      <c r="L422" s="472"/>
      <c r="M422" s="472"/>
      <c r="N422" s="472"/>
      <c r="O422" s="472"/>
      <c r="P422" s="472"/>
      <c r="Q422" s="472"/>
      <c r="R422" s="472"/>
      <c r="S422" s="472"/>
      <c r="T422" s="472"/>
      <c r="U422" s="472"/>
      <c r="V422" s="472"/>
      <c r="W422" s="472"/>
      <c r="X422" s="472"/>
      <c r="Y422" s="472"/>
      <c r="Z422" s="471"/>
      <c r="AA422" s="471"/>
      <c r="AB422" s="471"/>
      <c r="AC422" s="472"/>
      <c r="AD422" s="472"/>
      <c r="AE422" s="472"/>
      <c r="AF422" s="472"/>
      <c r="AG422" s="472"/>
      <c r="AH422" s="472"/>
      <c r="AI422" s="472"/>
      <c r="AJ422" s="472"/>
      <c r="AK422" s="472"/>
      <c r="AL422" s="472"/>
      <c r="AM422" s="472"/>
      <c r="AN422" s="472"/>
      <c r="AO422" s="472"/>
      <c r="AP422" s="472"/>
      <c r="AQ422" s="472"/>
      <c r="AR422" s="472"/>
      <c r="AS422" s="472"/>
      <c r="AT422" s="481"/>
      <c r="AU422" s="472"/>
      <c r="AV422" s="472"/>
      <c r="AW422" s="471"/>
      <c r="AX422" s="471"/>
      <c r="AY422" s="472"/>
      <c r="AZ422" s="472"/>
      <c r="BB422" s="470">
        <f t="shared" si="126"/>
        <v>0</v>
      </c>
      <c r="BC422" s="470">
        <f t="shared" si="127"/>
        <v>0</v>
      </c>
      <c r="BD422" s="444"/>
      <c r="BF422" s="336"/>
    </row>
    <row r="423" spans="2:58" hidden="1" outlineLevel="1" x14ac:dyDescent="0.35">
      <c r="B423" s="329" t="s">
        <v>128</v>
      </c>
      <c r="C423" s="465"/>
      <c r="D423" s="470">
        <f t="shared" si="125"/>
        <v>0</v>
      </c>
      <c r="E423" s="472"/>
      <c r="F423" s="472"/>
      <c r="G423" s="472"/>
      <c r="H423" s="472"/>
      <c r="I423" s="472"/>
      <c r="J423" s="472"/>
      <c r="K423" s="472"/>
      <c r="L423" s="472"/>
      <c r="M423" s="472"/>
      <c r="N423" s="472"/>
      <c r="O423" s="472"/>
      <c r="P423" s="472"/>
      <c r="Q423" s="472"/>
      <c r="R423" s="472"/>
      <c r="S423" s="472"/>
      <c r="T423" s="472"/>
      <c r="U423" s="472"/>
      <c r="V423" s="472"/>
      <c r="W423" s="472"/>
      <c r="X423" s="472"/>
      <c r="Z423" s="471"/>
      <c r="AA423" s="471"/>
      <c r="AB423" s="471"/>
      <c r="AC423" s="472"/>
      <c r="AD423" s="472"/>
      <c r="AE423" s="472"/>
      <c r="AF423" s="472"/>
      <c r="AG423" s="472"/>
      <c r="AH423" s="472"/>
      <c r="AI423" s="472"/>
      <c r="AJ423" s="472"/>
      <c r="AK423" s="472"/>
      <c r="AL423" s="472"/>
      <c r="AM423" s="472"/>
      <c r="AN423" s="472"/>
      <c r="AO423" s="472"/>
      <c r="AP423" s="472"/>
      <c r="AQ423" s="472"/>
      <c r="AR423" s="472"/>
      <c r="AS423" s="472"/>
      <c r="AT423" s="265"/>
      <c r="AU423" s="472"/>
      <c r="AV423" s="472"/>
      <c r="AW423" s="471"/>
      <c r="AX423" s="471"/>
      <c r="AY423" s="472"/>
      <c r="AZ423" s="472"/>
      <c r="BB423" s="470">
        <f t="shared" si="126"/>
        <v>0</v>
      </c>
      <c r="BC423" s="470">
        <f t="shared" si="127"/>
        <v>0</v>
      </c>
      <c r="BD423" s="444"/>
      <c r="BF423" s="336"/>
    </row>
    <row r="424" spans="2:58" hidden="1" outlineLevel="1" x14ac:dyDescent="0.35">
      <c r="B424" s="329" t="s">
        <v>129</v>
      </c>
      <c r="C424" s="465"/>
      <c r="D424" s="491">
        <f t="shared" si="125"/>
        <v>0</v>
      </c>
      <c r="E424" s="472"/>
      <c r="F424" s="472"/>
      <c r="G424" s="472"/>
      <c r="H424" s="472"/>
      <c r="I424" s="472"/>
      <c r="J424" s="472"/>
      <c r="K424" s="472"/>
      <c r="L424" s="472"/>
      <c r="M424" s="472"/>
      <c r="N424" s="472"/>
      <c r="O424" s="472"/>
      <c r="P424" s="472"/>
      <c r="Q424" s="472"/>
      <c r="R424" s="472"/>
      <c r="S424" s="472"/>
      <c r="T424" s="472"/>
      <c r="U424" s="472"/>
      <c r="V424" s="472"/>
      <c r="W424" s="472"/>
      <c r="X424" s="472"/>
      <c r="Z424" s="471"/>
      <c r="AA424" s="471"/>
      <c r="AB424" s="471"/>
      <c r="AC424" s="472"/>
      <c r="AD424" s="472"/>
      <c r="AE424" s="472"/>
      <c r="AF424" s="472"/>
      <c r="AG424" s="472"/>
      <c r="AH424" s="472"/>
      <c r="AI424" s="472"/>
      <c r="AJ424" s="472"/>
      <c r="AK424" s="472"/>
      <c r="AL424" s="472"/>
      <c r="AM424" s="472"/>
      <c r="AN424" s="472"/>
      <c r="AO424" s="472"/>
      <c r="AP424" s="472"/>
      <c r="AQ424" s="472"/>
      <c r="AR424" s="472"/>
      <c r="AS424" s="472"/>
      <c r="AT424" s="472"/>
      <c r="AU424" s="472"/>
      <c r="AV424" s="472"/>
      <c r="AW424" s="471"/>
      <c r="AX424" s="471"/>
      <c r="AY424" s="472"/>
      <c r="AZ424" s="472"/>
      <c r="BB424" s="470">
        <f t="shared" si="126"/>
        <v>0</v>
      </c>
      <c r="BC424" s="470">
        <f t="shared" si="127"/>
        <v>0</v>
      </c>
      <c r="BD424" s="444"/>
      <c r="BF424" s="336"/>
    </row>
    <row r="425" spans="2:58" hidden="1" outlineLevel="1" x14ac:dyDescent="0.35">
      <c r="B425" s="329" t="s">
        <v>130</v>
      </c>
      <c r="C425" s="465"/>
      <c r="D425" s="470">
        <f t="shared" si="125"/>
        <v>0</v>
      </c>
      <c r="E425" s="472"/>
      <c r="F425" s="472"/>
      <c r="G425" s="472"/>
      <c r="H425" s="472"/>
      <c r="I425" s="472"/>
      <c r="J425" s="472"/>
      <c r="K425" s="472"/>
      <c r="L425" s="472"/>
      <c r="M425" s="472"/>
      <c r="N425" s="472"/>
      <c r="O425" s="472"/>
      <c r="P425" s="472"/>
      <c r="Q425" s="472"/>
      <c r="R425" s="472"/>
      <c r="S425" s="472"/>
      <c r="T425" s="472"/>
      <c r="U425" s="472"/>
      <c r="V425" s="472"/>
      <c r="W425" s="472"/>
      <c r="X425" s="472"/>
      <c r="Y425" s="472"/>
      <c r="Z425" s="472"/>
      <c r="AA425" s="472"/>
      <c r="AB425" s="472"/>
      <c r="AC425" s="472"/>
      <c r="AD425" s="472"/>
      <c r="AE425" s="472"/>
      <c r="AF425" s="472"/>
      <c r="AG425" s="472"/>
      <c r="AH425" s="472"/>
      <c r="AI425" s="472"/>
      <c r="AJ425" s="472"/>
      <c r="AK425" s="472"/>
      <c r="AL425" s="472"/>
      <c r="AM425" s="472"/>
      <c r="AN425" s="472"/>
      <c r="AO425" s="472"/>
      <c r="AP425" s="472"/>
      <c r="AQ425" s="472"/>
      <c r="AR425" s="472"/>
      <c r="AS425" s="472"/>
      <c r="AT425" s="472"/>
      <c r="AU425" s="472"/>
      <c r="AV425" s="472"/>
      <c r="AW425" s="471"/>
      <c r="AX425" s="471"/>
      <c r="AY425" s="472"/>
      <c r="AZ425" s="472"/>
      <c r="BB425" s="470">
        <f t="shared" si="126"/>
        <v>0</v>
      </c>
      <c r="BC425" s="470">
        <f t="shared" si="127"/>
        <v>0</v>
      </c>
      <c r="BD425" s="444"/>
      <c r="BF425" s="336"/>
    </row>
    <row r="426" spans="2:58" ht="15" hidden="1" outlineLevel="1" thickBot="1" x14ac:dyDescent="0.4">
      <c r="B426" s="329" t="s">
        <v>22</v>
      </c>
      <c r="C426" s="465"/>
      <c r="D426" s="493">
        <f>SUM(D420:D425)</f>
        <v>0</v>
      </c>
      <c r="E426" s="494">
        <f t="shared" ref="E426:BC426" si="128">SUM(E420:E425)</f>
        <v>0</v>
      </c>
      <c r="F426" s="494">
        <f t="shared" si="128"/>
        <v>0</v>
      </c>
      <c r="G426" s="494">
        <f t="shared" si="128"/>
        <v>0</v>
      </c>
      <c r="H426" s="494">
        <f t="shared" si="128"/>
        <v>0</v>
      </c>
      <c r="I426" s="494">
        <f t="shared" si="128"/>
        <v>0</v>
      </c>
      <c r="J426" s="494">
        <f t="shared" si="128"/>
        <v>0</v>
      </c>
      <c r="K426" s="494">
        <f t="shared" si="128"/>
        <v>0</v>
      </c>
      <c r="L426" s="494">
        <f t="shared" si="128"/>
        <v>0</v>
      </c>
      <c r="M426" s="494">
        <f t="shared" si="128"/>
        <v>0</v>
      </c>
      <c r="N426" s="494">
        <f t="shared" si="128"/>
        <v>0</v>
      </c>
      <c r="O426" s="494">
        <f t="shared" si="128"/>
        <v>0</v>
      </c>
      <c r="P426" s="494">
        <f t="shared" si="128"/>
        <v>0</v>
      </c>
      <c r="Q426" s="494">
        <f t="shared" si="128"/>
        <v>0</v>
      </c>
      <c r="R426" s="494">
        <f t="shared" si="128"/>
        <v>0</v>
      </c>
      <c r="S426" s="494">
        <f t="shared" si="128"/>
        <v>0</v>
      </c>
      <c r="T426" s="494">
        <f t="shared" si="128"/>
        <v>0</v>
      </c>
      <c r="U426" s="494">
        <f t="shared" si="128"/>
        <v>0</v>
      </c>
      <c r="V426" s="494">
        <f t="shared" si="128"/>
        <v>0</v>
      </c>
      <c r="W426" s="494">
        <f t="shared" si="128"/>
        <v>0</v>
      </c>
      <c r="X426" s="494">
        <f t="shared" si="128"/>
        <v>0</v>
      </c>
      <c r="Y426" s="494">
        <f t="shared" si="128"/>
        <v>0</v>
      </c>
      <c r="Z426" s="494">
        <f t="shared" si="128"/>
        <v>0</v>
      </c>
      <c r="AA426" s="494">
        <f t="shared" si="128"/>
        <v>0</v>
      </c>
      <c r="AB426" s="494">
        <f t="shared" si="128"/>
        <v>0</v>
      </c>
      <c r="AC426" s="494">
        <f t="shared" si="128"/>
        <v>0</v>
      </c>
      <c r="AD426" s="494">
        <f t="shared" si="128"/>
        <v>0</v>
      </c>
      <c r="AE426" s="494">
        <f t="shared" si="128"/>
        <v>0</v>
      </c>
      <c r="AF426" s="494">
        <f t="shared" si="128"/>
        <v>0</v>
      </c>
      <c r="AG426" s="494">
        <f t="shared" si="128"/>
        <v>0</v>
      </c>
      <c r="AH426" s="494">
        <f t="shared" si="128"/>
        <v>0</v>
      </c>
      <c r="AI426" s="494">
        <f t="shared" si="128"/>
        <v>0</v>
      </c>
      <c r="AJ426" s="494"/>
      <c r="AK426" s="494"/>
      <c r="AL426" s="494"/>
      <c r="AM426" s="494"/>
      <c r="AN426" s="494"/>
      <c r="AO426" s="494"/>
      <c r="AP426" s="494">
        <f t="shared" si="128"/>
        <v>0</v>
      </c>
      <c r="AQ426" s="494">
        <f t="shared" si="128"/>
        <v>0</v>
      </c>
      <c r="AR426" s="494">
        <f t="shared" si="128"/>
        <v>0</v>
      </c>
      <c r="AS426" s="494">
        <f t="shared" si="128"/>
        <v>0</v>
      </c>
      <c r="AT426" s="494"/>
      <c r="AU426" s="494"/>
      <c r="AV426" s="494"/>
      <c r="AW426" s="519"/>
      <c r="AX426" s="519"/>
      <c r="AY426" s="494"/>
      <c r="AZ426" s="494"/>
      <c r="BB426" s="493">
        <f t="shared" si="128"/>
        <v>0</v>
      </c>
      <c r="BC426" s="493">
        <f t="shared" si="128"/>
        <v>0</v>
      </c>
      <c r="BD426" s="444"/>
      <c r="BF426" s="336"/>
    </row>
    <row r="427" spans="2:58" hidden="1" outlineLevel="1" x14ac:dyDescent="0.35">
      <c r="C427" s="465"/>
      <c r="D427" s="466"/>
      <c r="AS427" s="329"/>
      <c r="BB427" s="466"/>
      <c r="BC427" s="466"/>
      <c r="BD427" s="444"/>
      <c r="BF427" s="336"/>
    </row>
    <row r="428" spans="2:58" hidden="1" outlineLevel="1" x14ac:dyDescent="0.35">
      <c r="B428" s="329" t="s">
        <v>29</v>
      </c>
      <c r="C428" s="465"/>
      <c r="D428" s="496">
        <f>+'Def, COC, ConvF DPK-7 '!C13</f>
        <v>7.3575000000000002E-2</v>
      </c>
      <c r="E428" s="497">
        <f>+'Def, COC, ConvF DPK-7 '!D13</f>
        <v>7.3700000000000002E-2</v>
      </c>
      <c r="F428" s="497">
        <f>+'Def, COC, ConvF DPK-7 '!D13</f>
        <v>7.3700000000000002E-2</v>
      </c>
      <c r="G428" s="497">
        <f>+'Def, COC, ConvF DPK-7 '!D13</f>
        <v>7.3700000000000002E-2</v>
      </c>
      <c r="H428" s="497">
        <f>+'Def, COC, ConvF DPK-7 '!D13</f>
        <v>7.3700000000000002E-2</v>
      </c>
      <c r="I428" s="497">
        <f>+'Def, COC, ConvF DPK-7 '!D13</f>
        <v>7.3700000000000002E-2</v>
      </c>
      <c r="J428" s="497">
        <f>+'Def, COC, ConvF DPK-7 '!D13</f>
        <v>7.3700000000000002E-2</v>
      </c>
      <c r="K428" s="497">
        <f>+'Def, COC, ConvF DPK-7 '!D13</f>
        <v>7.3700000000000002E-2</v>
      </c>
      <c r="L428" s="497">
        <f>+'Def, COC, ConvF DPK-7 '!D13</f>
        <v>7.3700000000000002E-2</v>
      </c>
      <c r="M428" s="497">
        <f>+'Def, COC, ConvF DPK-7 '!D13</f>
        <v>7.3700000000000002E-2</v>
      </c>
      <c r="N428" s="497">
        <f>+'Def, COC, ConvF DPK-7 '!D13</f>
        <v>7.3700000000000002E-2</v>
      </c>
      <c r="O428" s="497">
        <f>+'Def, COC, ConvF DPK-7 '!D13</f>
        <v>7.3700000000000002E-2</v>
      </c>
      <c r="P428" s="497">
        <f>+'Def, COC, ConvF DPK-7 '!D13</f>
        <v>7.3700000000000002E-2</v>
      </c>
      <c r="Q428" s="497">
        <f>+'Def, COC, ConvF DPK-7 '!D13</f>
        <v>7.3700000000000002E-2</v>
      </c>
      <c r="R428" s="497">
        <f>+'Def, COC, ConvF DPK-7 '!D13</f>
        <v>7.3700000000000002E-2</v>
      </c>
      <c r="S428" s="497">
        <f>+'Def, COC, ConvF DPK-7 '!D13</f>
        <v>7.3700000000000002E-2</v>
      </c>
      <c r="T428" s="497">
        <f>+'Def, COC, ConvF DPK-7 '!D13</f>
        <v>7.3700000000000002E-2</v>
      </c>
      <c r="U428" s="497">
        <f>+'Def, COC, ConvF DPK-7 '!D13</f>
        <v>7.3700000000000002E-2</v>
      </c>
      <c r="V428" s="497">
        <f>+'Def, COC, ConvF DPK-7 '!D13</f>
        <v>7.3700000000000002E-2</v>
      </c>
      <c r="W428" s="497">
        <f>+'Def, COC, ConvF DPK-7 '!D13</f>
        <v>7.3700000000000002E-2</v>
      </c>
      <c r="X428" s="497">
        <f>+'Def, COC, ConvF DPK-7 '!D13</f>
        <v>7.3700000000000002E-2</v>
      </c>
      <c r="Y428" s="497">
        <f>+'Def, COC, ConvF DPK-7 '!D13</f>
        <v>7.3700000000000002E-2</v>
      </c>
      <c r="Z428" s="497">
        <f>+'Def, COC, ConvF DPK-7 '!D13</f>
        <v>7.3700000000000002E-2</v>
      </c>
      <c r="AA428" s="497">
        <f>+'Def, COC, ConvF DPK-7 '!D13</f>
        <v>7.3700000000000002E-2</v>
      </c>
      <c r="AB428" s="497">
        <f>+'Def, COC, ConvF DPK-7 '!D13</f>
        <v>7.3700000000000002E-2</v>
      </c>
      <c r="AC428" s="497">
        <f>+'Def, COC, ConvF DPK-7 '!D13</f>
        <v>7.3700000000000002E-2</v>
      </c>
      <c r="AD428" s="497">
        <f>+'Def, COC, ConvF DPK-7 '!D13</f>
        <v>7.3700000000000002E-2</v>
      </c>
      <c r="AE428" s="497">
        <f>+'Def, COC, ConvF DPK-7 '!D13</f>
        <v>7.3700000000000002E-2</v>
      </c>
      <c r="AF428" s="497">
        <f>+'Def, COC, ConvF DPK-7 '!D13</f>
        <v>7.3700000000000002E-2</v>
      </c>
      <c r="AG428" s="497">
        <f>+'Def, COC, ConvF DPK-7 '!D13</f>
        <v>7.3700000000000002E-2</v>
      </c>
      <c r="AH428" s="497">
        <f>+'Def, COC, ConvF DPK-7 '!D13</f>
        <v>7.3700000000000002E-2</v>
      </c>
      <c r="AI428" s="497">
        <f>+'Def, COC, ConvF DPK-7 '!D13</f>
        <v>7.3700000000000002E-2</v>
      </c>
      <c r="AJ428" s="497"/>
      <c r="AK428" s="497"/>
      <c r="AL428" s="497"/>
      <c r="AM428" s="497"/>
      <c r="AN428" s="497"/>
      <c r="AO428" s="497"/>
      <c r="AP428" s="497">
        <f>+'Def, COC, ConvF DPK-7 '!D13</f>
        <v>7.3700000000000002E-2</v>
      </c>
      <c r="AQ428" s="497">
        <f>+'Def, COC, ConvF DPK-7 '!D13</f>
        <v>7.3700000000000002E-2</v>
      </c>
      <c r="AR428" s="497">
        <f>+'Def, COC, ConvF DPK-7 '!D13</f>
        <v>7.3700000000000002E-2</v>
      </c>
      <c r="AS428" s="497" t="str">
        <f>+'Def, COC, ConvF DPK-7 '!M13</f>
        <v>ANNUAL FILING FEE</v>
      </c>
      <c r="AT428" s="497"/>
      <c r="AU428" s="497"/>
      <c r="AV428" s="497"/>
      <c r="AW428" s="497"/>
      <c r="AX428" s="497"/>
      <c r="AY428" s="497"/>
      <c r="AZ428" s="497"/>
      <c r="BB428" s="496">
        <f>+'Def, COC, ConvF DPK-7 '!C13</f>
        <v>7.3575000000000002E-2</v>
      </c>
      <c r="BC428" s="496">
        <f>+'Def, COC, ConvF DPK-7 '!C13</f>
        <v>7.3575000000000002E-2</v>
      </c>
      <c r="BD428" s="444"/>
      <c r="BF428" s="336"/>
    </row>
    <row r="429" spans="2:58" hidden="1" outlineLevel="1" x14ac:dyDescent="0.35">
      <c r="B429" s="329" t="s">
        <v>23</v>
      </c>
      <c r="C429" s="465"/>
      <c r="D429" s="466">
        <f>+'Def, COC, ConvF DPK-7 '!P20</f>
        <v>0.75421300000000002</v>
      </c>
      <c r="E429" s="329">
        <f>+'Def, COC, ConvF DPK-7 '!P20</f>
        <v>0.75421300000000002</v>
      </c>
      <c r="F429" s="329">
        <f>+'Def, COC, ConvF DPK-7 '!P20</f>
        <v>0.75421300000000002</v>
      </c>
      <c r="G429" s="329">
        <f>+'Def, COC, ConvF DPK-7 '!P20</f>
        <v>0.75421300000000002</v>
      </c>
      <c r="H429" s="329">
        <f>+'Def, COC, ConvF DPK-7 '!P20</f>
        <v>0.75421300000000002</v>
      </c>
      <c r="I429" s="329">
        <f>+'Def, COC, ConvF DPK-7 '!P20</f>
        <v>0.75421300000000002</v>
      </c>
      <c r="J429" s="329">
        <f>+'Def, COC, ConvF DPK-7 '!P20</f>
        <v>0.75421300000000002</v>
      </c>
      <c r="K429" s="329">
        <f>+'Def, COC, ConvF DPK-7 '!P20</f>
        <v>0.75421300000000002</v>
      </c>
      <c r="L429" s="329">
        <f>+'Def, COC, ConvF DPK-7 '!P20</f>
        <v>0.75421300000000002</v>
      </c>
      <c r="M429" s="329">
        <f>+'Def, COC, ConvF DPK-7 '!P20</f>
        <v>0.75421300000000002</v>
      </c>
      <c r="N429" s="329">
        <f>+'Def, COC, ConvF DPK-7 '!P20</f>
        <v>0.75421300000000002</v>
      </c>
      <c r="O429" s="329">
        <f>+'Def, COC, ConvF DPK-7 '!P20</f>
        <v>0.75421300000000002</v>
      </c>
      <c r="P429" s="329">
        <f>+'Def, COC, ConvF DPK-7 '!P20</f>
        <v>0.75421300000000002</v>
      </c>
      <c r="Q429" s="329">
        <f>+'Def, COC, ConvF DPK-7 '!P20</f>
        <v>0.75421300000000002</v>
      </c>
      <c r="R429" s="329">
        <f>+'Def, COC, ConvF DPK-7 '!P20</f>
        <v>0.75421300000000002</v>
      </c>
      <c r="S429" s="329">
        <f>+'Def, COC, ConvF DPK-7 '!P20</f>
        <v>0.75421300000000002</v>
      </c>
      <c r="T429" s="329">
        <f>+'Def, COC, ConvF DPK-7 '!P20</f>
        <v>0.75421300000000002</v>
      </c>
      <c r="U429" s="329">
        <f>+'Def, COC, ConvF DPK-7 '!P20</f>
        <v>0.75421300000000002</v>
      </c>
      <c r="V429" s="329">
        <f>+'Def, COC, ConvF DPK-7 '!P20</f>
        <v>0.75421300000000002</v>
      </c>
      <c r="W429" s="329">
        <f>+'Def, COC, ConvF DPK-7 '!P20</f>
        <v>0.75421300000000002</v>
      </c>
      <c r="X429" s="329">
        <f>+'Def, COC, ConvF DPK-7 '!P20</f>
        <v>0.75421300000000002</v>
      </c>
      <c r="Y429" s="329">
        <f>+'Def, COC, ConvF DPK-7 '!P20</f>
        <v>0.75421300000000002</v>
      </c>
      <c r="Z429" s="329">
        <f>+'Def, COC, ConvF DPK-7 '!P20</f>
        <v>0.75421300000000002</v>
      </c>
      <c r="AA429" s="329">
        <f>+'Def, COC, ConvF DPK-7 '!P20</f>
        <v>0.75421300000000002</v>
      </c>
      <c r="AB429" s="329">
        <f>+'Def, COC, ConvF DPK-7 '!P20</f>
        <v>0.75421300000000002</v>
      </c>
      <c r="AC429" s="329">
        <f>+'Def, COC, ConvF DPK-7 '!P20</f>
        <v>0.75421300000000002</v>
      </c>
      <c r="AD429" s="329">
        <f>+'Def, COC, ConvF DPK-7 '!P20</f>
        <v>0.75421300000000002</v>
      </c>
      <c r="AE429" s="329">
        <f>+'Def, COC, ConvF DPK-7 '!P20</f>
        <v>0.75421300000000002</v>
      </c>
      <c r="AF429" s="329">
        <f>+'Def, COC, ConvF DPK-7 '!P20</f>
        <v>0.75421300000000002</v>
      </c>
      <c r="AG429" s="329">
        <f>+'Def, COC, ConvF DPK-7 '!P20</f>
        <v>0.75421300000000002</v>
      </c>
      <c r="AH429" s="329">
        <f>+'Def, COC, ConvF DPK-7 '!P20</f>
        <v>0.75421300000000002</v>
      </c>
      <c r="AI429" s="329">
        <f>+'Def, COC, ConvF DPK-7 '!P20</f>
        <v>0.75421300000000002</v>
      </c>
      <c r="AP429" s="329">
        <f>+'Def, COC, ConvF DPK-7 '!P20</f>
        <v>0.75421300000000002</v>
      </c>
      <c r="AQ429" s="329">
        <f>+'Def, COC, ConvF DPK-7 '!P20</f>
        <v>0.75421300000000002</v>
      </c>
      <c r="AR429" s="329">
        <f>+'Def, COC, ConvF DPK-7 '!P20</f>
        <v>0.75421300000000002</v>
      </c>
      <c r="AS429" s="329">
        <f>+'Def, COC, ConvF DPK-7 '!Y20</f>
        <v>0</v>
      </c>
      <c r="BB429" s="466">
        <f>+'Def, COC, ConvF DPK-7 '!P20</f>
        <v>0.75421300000000002</v>
      </c>
      <c r="BC429" s="466">
        <f>+'Def, COC, ConvF DPK-7 '!P20</f>
        <v>0.75421300000000002</v>
      </c>
      <c r="BD429" s="444"/>
      <c r="BF429" s="336"/>
    </row>
    <row r="430" spans="2:58" hidden="1" outlineLevel="1" x14ac:dyDescent="0.35">
      <c r="B430" s="329" t="s">
        <v>186</v>
      </c>
      <c r="C430" s="465"/>
      <c r="D430" s="470">
        <f>+D413-(D426*D428)</f>
        <v>0</v>
      </c>
      <c r="E430" s="265">
        <f t="shared" ref="E430:AS430" si="129">+E413-(E426*E428)</f>
        <v>0</v>
      </c>
      <c r="F430" s="265">
        <f t="shared" si="129"/>
        <v>0</v>
      </c>
      <c r="G430" s="265">
        <f t="shared" si="129"/>
        <v>0</v>
      </c>
      <c r="H430" s="265">
        <f t="shared" si="129"/>
        <v>0</v>
      </c>
      <c r="I430" s="265">
        <f t="shared" si="129"/>
        <v>0</v>
      </c>
      <c r="J430" s="265">
        <f t="shared" si="129"/>
        <v>0</v>
      </c>
      <c r="K430" s="265">
        <f t="shared" si="129"/>
        <v>0</v>
      </c>
      <c r="L430" s="265">
        <f t="shared" si="129"/>
        <v>0</v>
      </c>
      <c r="M430" s="265">
        <f t="shared" si="129"/>
        <v>0</v>
      </c>
      <c r="N430" s="265">
        <f t="shared" si="129"/>
        <v>0</v>
      </c>
      <c r="O430" s="265">
        <f t="shared" si="129"/>
        <v>0</v>
      </c>
      <c r="P430" s="265">
        <f t="shared" si="129"/>
        <v>0</v>
      </c>
      <c r="Q430" s="265">
        <f t="shared" si="129"/>
        <v>0</v>
      </c>
      <c r="R430" s="265">
        <f t="shared" si="129"/>
        <v>0</v>
      </c>
      <c r="S430" s="265">
        <f t="shared" si="129"/>
        <v>0</v>
      </c>
      <c r="T430" s="265">
        <f t="shared" si="129"/>
        <v>0</v>
      </c>
      <c r="U430" s="265">
        <f t="shared" si="129"/>
        <v>0</v>
      </c>
      <c r="V430" s="265">
        <f t="shared" si="129"/>
        <v>0</v>
      </c>
      <c r="W430" s="265">
        <f t="shared" si="129"/>
        <v>0</v>
      </c>
      <c r="X430" s="265">
        <f t="shared" si="129"/>
        <v>0</v>
      </c>
      <c r="Y430" s="265">
        <f t="shared" si="129"/>
        <v>0</v>
      </c>
      <c r="Z430" s="525">
        <f t="shared" si="129"/>
        <v>0</v>
      </c>
      <c r="AA430" s="265">
        <f t="shared" si="129"/>
        <v>0</v>
      </c>
      <c r="AB430" s="265">
        <f t="shared" si="129"/>
        <v>0</v>
      </c>
      <c r="AC430" s="265">
        <f t="shared" si="129"/>
        <v>0</v>
      </c>
      <c r="AD430" s="265">
        <f t="shared" si="129"/>
        <v>0</v>
      </c>
      <c r="AE430" s="265">
        <f t="shared" si="129"/>
        <v>0</v>
      </c>
      <c r="AF430" s="265">
        <f t="shared" si="129"/>
        <v>0</v>
      </c>
      <c r="AG430" s="265">
        <f t="shared" si="129"/>
        <v>0</v>
      </c>
      <c r="AH430" s="265">
        <f t="shared" si="129"/>
        <v>0</v>
      </c>
      <c r="AI430" s="525">
        <f t="shared" si="129"/>
        <v>0</v>
      </c>
      <c r="AJ430" s="525"/>
      <c r="AK430" s="525"/>
      <c r="AL430" s="525"/>
      <c r="AM430" s="525"/>
      <c r="AN430" s="525"/>
      <c r="AO430" s="525"/>
      <c r="AP430" s="265">
        <f t="shared" si="129"/>
        <v>0</v>
      </c>
      <c r="AQ430" s="265">
        <f t="shared" si="129"/>
        <v>0</v>
      </c>
      <c r="AR430" s="265">
        <f t="shared" si="129"/>
        <v>0</v>
      </c>
      <c r="AS430" s="265" t="e">
        <f t="shared" si="129"/>
        <v>#VALUE!</v>
      </c>
      <c r="AT430" s="265"/>
      <c r="AU430" s="265"/>
      <c r="AV430" s="265"/>
      <c r="AW430" s="265"/>
      <c r="AX430" s="265"/>
      <c r="AY430" s="265"/>
      <c r="AZ430" s="265"/>
      <c r="BB430" s="470" t="e">
        <f>SUM(E430:AZ430)</f>
        <v>#VALUE!</v>
      </c>
      <c r="BC430" s="470">
        <f>+BC413-(BC426*BC428)</f>
        <v>0</v>
      </c>
      <c r="BD430" s="444"/>
      <c r="BF430" s="336"/>
    </row>
    <row r="431" spans="2:58" hidden="1" outlineLevel="1" x14ac:dyDescent="0.35">
      <c r="B431" s="329" t="s">
        <v>187</v>
      </c>
      <c r="C431" s="465"/>
      <c r="D431" s="470">
        <f t="shared" ref="D431:BC431" si="130">-D430/D429</f>
        <v>0</v>
      </c>
      <c r="E431" s="265">
        <f t="shared" si="130"/>
        <v>0</v>
      </c>
      <c r="F431" s="265">
        <f t="shared" si="130"/>
        <v>0</v>
      </c>
      <c r="G431" s="265">
        <f t="shared" si="130"/>
        <v>0</v>
      </c>
      <c r="H431" s="265">
        <f t="shared" si="130"/>
        <v>0</v>
      </c>
      <c r="I431" s="265">
        <f t="shared" si="130"/>
        <v>0</v>
      </c>
      <c r="J431" s="265">
        <f t="shared" si="130"/>
        <v>0</v>
      </c>
      <c r="K431" s="265">
        <f t="shared" si="130"/>
        <v>0</v>
      </c>
      <c r="L431" s="265">
        <f t="shared" si="130"/>
        <v>0</v>
      </c>
      <c r="M431" s="265">
        <f t="shared" si="130"/>
        <v>0</v>
      </c>
      <c r="N431" s="265">
        <f t="shared" si="130"/>
        <v>0</v>
      </c>
      <c r="O431" s="265">
        <f t="shared" si="130"/>
        <v>0</v>
      </c>
      <c r="P431" s="265">
        <f t="shared" si="130"/>
        <v>0</v>
      </c>
      <c r="Q431" s="265">
        <f t="shared" si="130"/>
        <v>0</v>
      </c>
      <c r="R431" s="265">
        <f t="shared" si="130"/>
        <v>0</v>
      </c>
      <c r="S431" s="265">
        <f t="shared" si="130"/>
        <v>0</v>
      </c>
      <c r="T431" s="265">
        <f t="shared" si="130"/>
        <v>0</v>
      </c>
      <c r="U431" s="265">
        <f t="shared" si="130"/>
        <v>0</v>
      </c>
      <c r="V431" s="265">
        <f t="shared" si="130"/>
        <v>0</v>
      </c>
      <c r="W431" s="265">
        <f t="shared" si="130"/>
        <v>0</v>
      </c>
      <c r="X431" s="265">
        <f t="shared" si="130"/>
        <v>0</v>
      </c>
      <c r="Y431" s="265">
        <f t="shared" si="130"/>
        <v>0</v>
      </c>
      <c r="Z431" s="525">
        <f t="shared" si="130"/>
        <v>0</v>
      </c>
      <c r="AA431" s="265">
        <f t="shared" si="130"/>
        <v>0</v>
      </c>
      <c r="AB431" s="265">
        <f t="shared" si="130"/>
        <v>0</v>
      </c>
      <c r="AC431" s="265">
        <f t="shared" si="130"/>
        <v>0</v>
      </c>
      <c r="AD431" s="265">
        <f t="shared" si="130"/>
        <v>0</v>
      </c>
      <c r="AE431" s="265">
        <f t="shared" si="130"/>
        <v>0</v>
      </c>
      <c r="AF431" s="265">
        <f t="shared" si="130"/>
        <v>0</v>
      </c>
      <c r="AG431" s="265">
        <f t="shared" si="130"/>
        <v>0</v>
      </c>
      <c r="AH431" s="265">
        <f t="shared" si="130"/>
        <v>0</v>
      </c>
      <c r="AI431" s="525">
        <f t="shared" si="130"/>
        <v>0</v>
      </c>
      <c r="AJ431" s="525"/>
      <c r="AK431" s="525"/>
      <c r="AL431" s="525"/>
      <c r="AM431" s="525"/>
      <c r="AN431" s="525"/>
      <c r="AO431" s="525"/>
      <c r="AP431" s="265">
        <f t="shared" si="130"/>
        <v>0</v>
      </c>
      <c r="AQ431" s="265">
        <f t="shared" si="130"/>
        <v>0</v>
      </c>
      <c r="AR431" s="265">
        <f t="shared" si="130"/>
        <v>0</v>
      </c>
      <c r="AS431" s="265" t="e">
        <f t="shared" si="130"/>
        <v>#VALUE!</v>
      </c>
      <c r="AT431" s="265"/>
      <c r="AU431" s="265"/>
      <c r="AV431" s="265"/>
      <c r="AW431" s="265"/>
      <c r="AX431" s="265"/>
      <c r="AY431" s="265"/>
      <c r="AZ431" s="265"/>
      <c r="BB431" s="470" t="e">
        <f t="shared" si="130"/>
        <v>#VALUE!</v>
      </c>
      <c r="BC431" s="470">
        <f t="shared" si="130"/>
        <v>0</v>
      </c>
      <c r="BD431" s="444"/>
      <c r="BF431" s="336"/>
    </row>
    <row r="432" spans="2:58" hidden="1" outlineLevel="1" x14ac:dyDescent="0.35">
      <c r="B432" s="329" t="s">
        <v>42</v>
      </c>
      <c r="C432" s="465"/>
      <c r="D432" s="470"/>
      <c r="E432" s="265"/>
      <c r="F432" s="265"/>
      <c r="G432" s="265"/>
      <c r="H432" s="265"/>
      <c r="I432" s="265"/>
      <c r="J432" s="265"/>
      <c r="K432" s="265"/>
      <c r="L432" s="265"/>
      <c r="M432" s="265"/>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5"/>
      <c r="AI432" s="525"/>
      <c r="AJ432" s="525"/>
      <c r="AK432" s="525"/>
      <c r="AL432" s="525"/>
      <c r="AM432" s="525"/>
      <c r="AN432" s="525"/>
      <c r="AO432" s="525"/>
      <c r="AP432" s="265"/>
      <c r="AQ432" s="265"/>
      <c r="AR432" s="265"/>
      <c r="AS432" s="265"/>
      <c r="AT432" s="265"/>
      <c r="AU432" s="265"/>
      <c r="AV432" s="265"/>
      <c r="AW432" s="265"/>
      <c r="AX432" s="265"/>
      <c r="AY432" s="265"/>
      <c r="AZ432" s="265"/>
      <c r="BB432" s="470"/>
      <c r="BC432" s="470">
        <f>+BC371</f>
        <v>0</v>
      </c>
      <c r="BD432" s="444"/>
      <c r="BF432" s="336"/>
    </row>
    <row r="433" spans="2:58" hidden="1" outlineLevel="1" x14ac:dyDescent="0.35">
      <c r="B433" s="329" t="s">
        <v>43</v>
      </c>
      <c r="C433" s="465"/>
      <c r="D433" s="470"/>
      <c r="E433" s="265"/>
      <c r="F433" s="265"/>
      <c r="G433" s="265"/>
      <c r="H433" s="265"/>
      <c r="I433" s="265"/>
      <c r="J433" s="265"/>
      <c r="K433" s="265"/>
      <c r="L433" s="265"/>
      <c r="M433" s="265"/>
      <c r="N433" s="265"/>
      <c r="O433" s="265"/>
      <c r="P433" s="265"/>
      <c r="Q433" s="265"/>
      <c r="R433" s="265"/>
      <c r="S433" s="265"/>
      <c r="T433" s="265"/>
      <c r="U433" s="265"/>
      <c r="V433" s="265"/>
      <c r="W433" s="265"/>
      <c r="X433" s="265"/>
      <c r="Y433" s="265"/>
      <c r="Z433" s="265"/>
      <c r="AA433" s="265"/>
      <c r="AB433" s="265"/>
      <c r="AC433" s="265"/>
      <c r="AD433" s="265"/>
      <c r="AE433" s="265"/>
      <c r="AF433" s="265"/>
      <c r="AG433" s="265"/>
      <c r="AH433" s="265"/>
      <c r="AI433" s="265"/>
      <c r="AJ433" s="265"/>
      <c r="AK433" s="265"/>
      <c r="AL433" s="265"/>
      <c r="AM433" s="265"/>
      <c r="AN433" s="265"/>
      <c r="AO433" s="265"/>
      <c r="AP433" s="265"/>
      <c r="AQ433" s="265"/>
      <c r="AR433" s="265"/>
      <c r="AS433" s="265"/>
      <c r="AT433" s="265"/>
      <c r="AU433" s="265"/>
      <c r="AV433" s="265"/>
      <c r="AW433" s="265"/>
      <c r="AX433" s="265"/>
      <c r="AY433" s="265"/>
      <c r="AZ433" s="265"/>
      <c r="BB433" s="470"/>
      <c r="BC433" s="521">
        <f>SUM(BC431:BC432)</f>
        <v>0</v>
      </c>
      <c r="BD433" s="444"/>
      <c r="BF433" s="336"/>
    </row>
    <row r="434" spans="2:58" hidden="1" outlineLevel="1" x14ac:dyDescent="0.35">
      <c r="C434" s="465"/>
      <c r="D434" s="498"/>
      <c r="E434" s="265"/>
      <c r="F434" s="265"/>
      <c r="G434" s="265"/>
      <c r="H434" s="265"/>
      <c r="I434" s="265"/>
      <c r="J434" s="265"/>
      <c r="K434" s="265"/>
      <c r="L434" s="265"/>
      <c r="M434" s="265"/>
      <c r="N434" s="265"/>
      <c r="O434" s="265"/>
      <c r="P434" s="265"/>
      <c r="Q434" s="265"/>
      <c r="R434" s="265"/>
      <c r="S434" s="265"/>
      <c r="T434" s="265"/>
      <c r="U434" s="265"/>
      <c r="V434" s="265"/>
      <c r="W434" s="265"/>
      <c r="X434" s="265"/>
      <c r="Y434" s="265"/>
      <c r="Z434" s="265"/>
      <c r="AA434" s="265"/>
      <c r="AB434" s="265"/>
      <c r="AC434" s="265"/>
      <c r="AD434" s="265"/>
      <c r="AE434" s="265"/>
      <c r="AF434" s="265"/>
      <c r="AG434" s="265"/>
      <c r="AH434" s="265"/>
      <c r="AI434" s="265"/>
      <c r="AJ434" s="265"/>
      <c r="AK434" s="265"/>
      <c r="AL434" s="265"/>
      <c r="AM434" s="265"/>
      <c r="AN434" s="265"/>
      <c r="AO434" s="265"/>
      <c r="AP434" s="265"/>
      <c r="AQ434" s="265"/>
      <c r="AR434" s="265"/>
      <c r="AS434" s="265"/>
      <c r="AT434" s="265"/>
      <c r="AU434" s="265"/>
      <c r="AV434" s="265"/>
      <c r="AW434" s="265"/>
      <c r="AX434" s="265"/>
      <c r="AY434" s="265"/>
      <c r="AZ434" s="265"/>
      <c r="BB434" s="498"/>
      <c r="BC434" s="498"/>
      <c r="BD434" s="444"/>
      <c r="BF434" s="336"/>
    </row>
    <row r="435" spans="2:58" hidden="1" outlineLevel="1" x14ac:dyDescent="0.35">
      <c r="C435" s="465"/>
      <c r="AS435" s="329"/>
      <c r="BB435" s="497">
        <f>+'Def, COC, ConvF DPK-7 '!K27</f>
        <v>7.3575000000000002E-2</v>
      </c>
      <c r="BC435" s="497">
        <f>+'Def, COC, ConvF DPK-7 '!K27</f>
        <v>7.3575000000000002E-2</v>
      </c>
      <c r="BD435" s="444"/>
      <c r="BF435" s="336"/>
    </row>
    <row r="436" spans="2:58" hidden="1" outlineLevel="1" x14ac:dyDescent="0.35">
      <c r="B436" s="499" t="s">
        <v>939</v>
      </c>
      <c r="C436" s="465"/>
      <c r="D436" s="513"/>
      <c r="E436" s="551">
        <f>ROUND('Common Adj'!Q$71-E413,0)+E415</f>
        <v>0</v>
      </c>
      <c r="F436" s="551">
        <f>ROUND('Common Adj'!AI$65-F413,0)+F415</f>
        <v>0</v>
      </c>
      <c r="G436" s="551">
        <f>ROUND('Common Adj'!BA$30-G413,0)+G415</f>
        <v>0</v>
      </c>
      <c r="H436" s="551">
        <f>ROUND('Common Adj'!BS$22-H413,0)+ROUND('Common Adj'!BS$24-H415,0)</f>
        <v>0</v>
      </c>
      <c r="I436" s="551">
        <f>ROUND('Common Adj'!CK$24-I413,0)+I415</f>
        <v>0</v>
      </c>
      <c r="J436" s="551">
        <f>ROUND('Common Adj'!DC$20-J413,0)+J415</f>
        <v>0</v>
      </c>
      <c r="K436" s="551">
        <f>ROUND('Common Adj'!DU$22-K413,0)+K415</f>
        <v>0</v>
      </c>
      <c r="L436" s="551">
        <f>ROUND('Common Adj'!EM$21-L413,0)+L415</f>
        <v>0</v>
      </c>
      <c r="M436" s="551">
        <f>ROUND('Common Adj'!FE$27-M413,0)+M415</f>
        <v>0</v>
      </c>
      <c r="N436" s="551">
        <f>ROUND('Common Adj'!FW$23-N413,0)+N415</f>
        <v>0</v>
      </c>
      <c r="O436" s="551">
        <f>ROUND('Common Adj'!GO$32-O413,0)+O415</f>
        <v>0</v>
      </c>
      <c r="P436" s="551">
        <f>ROUND('Common Adj'!HG$36-P413,0)+P415</f>
        <v>0</v>
      </c>
      <c r="Q436" s="551">
        <f>ROUND('Common Adj'!HY$18-Q413,0)+Q415</f>
        <v>0</v>
      </c>
      <c r="R436" s="551">
        <f>ROUND('Common Adj'!IQ$21-R413,0)+R415</f>
        <v>0</v>
      </c>
      <c r="S436" s="551">
        <f>ROUND('Common Adj'!JI$22-S413,0)+S415</f>
        <v>0</v>
      </c>
      <c r="T436" s="551">
        <f>ROUND('Common Adj'!KA$23-T413,0)+T415</f>
        <v>0</v>
      </c>
      <c r="U436" s="551">
        <f>ROUND('Common Adj'!KS$20-U413,0)+U415</f>
        <v>0</v>
      </c>
      <c r="V436" s="551">
        <f>ROUND('Common Adj'!LK$33-V413,0)+V415</f>
        <v>0</v>
      </c>
      <c r="W436" s="551">
        <f>ROUND('Common Adj'!MC$22-W415,0)+W413</f>
        <v>0</v>
      </c>
      <c r="X436" s="551">
        <f>ROUND('Common Adj'!MU$31-X413,0)+ROUND('Common Adj'!MU$36-X415,0)</f>
        <v>0</v>
      </c>
      <c r="Y436" s="551">
        <f>ROUND('Common Adj'!NM$22-Y413,0)+Y415</f>
        <v>0</v>
      </c>
      <c r="Z436" s="551">
        <f>ROUND('Common Adj'!OE$31-Z413,0)+Z415</f>
        <v>0</v>
      </c>
      <c r="AA436" s="551">
        <f>ROUND('Common Adj'!OW$40-AA413,0)+ROUND('Common Adj'!OW$29-AA415,0)</f>
        <v>0</v>
      </c>
      <c r="AB436" s="551">
        <f>ROUND('Common Adj'!PO$46-AB413,0)+ROUND('Common Adj'!PO$35-AB415,0)</f>
        <v>0</v>
      </c>
      <c r="AC436" s="551" t="e">
        <f>ROUND('Common Adj'!#REF!-AC413,0)+AC415</f>
        <v>#REF!</v>
      </c>
      <c r="AD436" s="551">
        <f>ROUND('Common Adj'!QZ19-AD415,0)</f>
        <v>0</v>
      </c>
      <c r="AE436" s="551">
        <f>ROUND('Common Adj'!TB$26-AE413,0)+ROUND('Common Adj'!TB$31-AE415,0)</f>
        <v>0</v>
      </c>
      <c r="AF436" s="551">
        <f>ROUND('Common Adj'!TB$44-AF413,0)+ROUND('Common Adj'!TB$49-AF415,0)</f>
        <v>0</v>
      </c>
      <c r="AG436" s="551">
        <f>ROUND('Common Adj'!TB$62-AG413,0)+ROUND('Common Adj'!TB$67-AG415,0)</f>
        <v>0</v>
      </c>
      <c r="AH436" s="551">
        <f>ROUND('Common Adj'!TB$80-AH413,0)+ROUND('Common Adj'!TB$85-AH415,0)</f>
        <v>0</v>
      </c>
      <c r="AI436" s="551">
        <f>ROUND('Common Adj'!TB$98-AI413,0)+ROUND('Common Adj'!TB$103-AI415,0)</f>
        <v>0</v>
      </c>
      <c r="AJ436" s="551"/>
      <c r="AK436" s="551"/>
      <c r="AL436" s="551"/>
      <c r="AM436" s="551"/>
      <c r="AN436" s="551"/>
      <c r="AO436" s="551"/>
      <c r="AP436" s="551">
        <f>ROUND('Gas Adj'!BS$44-AP415,0)+ROUND('Gas Adj'!BS$33-AP413,0)</f>
        <v>0</v>
      </c>
      <c r="AQ436" s="551">
        <f>ROUND('Gas Adj'!CK$47-AQ413,0)+ROUND('Gas Adj'!CK$27-AQ415,0)</f>
        <v>0</v>
      </c>
      <c r="AR436" s="551">
        <f>ROUND('Gas Adj'!BS$44-BW33,0)+AR415</f>
        <v>0</v>
      </c>
      <c r="AS436" s="551">
        <f>ROUND('Gas Adj'!CB$44-CF33,0)+AS415</f>
        <v>13014655</v>
      </c>
      <c r="AT436" s="551"/>
      <c r="AU436" s="551"/>
      <c r="AV436" s="551"/>
      <c r="AW436" s="551"/>
      <c r="AX436" s="551"/>
      <c r="AY436" s="551"/>
      <c r="AZ436" s="551"/>
      <c r="BB436" s="501"/>
      <c r="BC436" s="501"/>
      <c r="BD436" s="444"/>
      <c r="BF436" s="336"/>
    </row>
    <row r="437" spans="2:58" hidden="1" outlineLevel="1" x14ac:dyDescent="0.35">
      <c r="B437" s="499" t="s">
        <v>953</v>
      </c>
      <c r="C437" s="465"/>
      <c r="D437" s="551">
        <f>'Summary DPK-7 '!O47-D413</f>
        <v>0</v>
      </c>
      <c r="AS437" s="329"/>
      <c r="BC437" s="551">
        <f>'Summary DPK-7 '!Q47-BC413</f>
        <v>0</v>
      </c>
      <c r="BD437" s="444"/>
      <c r="BF437" s="336"/>
    </row>
    <row r="438" spans="2:58" hidden="1" outlineLevel="1" x14ac:dyDescent="0.35">
      <c r="B438" s="499" t="s">
        <v>954</v>
      </c>
      <c r="C438" s="465"/>
      <c r="D438" s="551">
        <f>'Summary DPK-7 '!O58-D426</f>
        <v>0</v>
      </c>
      <c r="AS438" s="329"/>
      <c r="BC438" s="551">
        <f>'Summary DPK-7 '!Q58-BC426</f>
        <v>0</v>
      </c>
      <c r="BD438" s="444"/>
      <c r="BF438" s="336"/>
    </row>
    <row r="439" spans="2:58" hidden="1" outlineLevel="1" x14ac:dyDescent="0.35">
      <c r="B439" s="411"/>
      <c r="C439" s="516"/>
      <c r="D439" s="502"/>
      <c r="AS439" s="329"/>
      <c r="BC439" s="502"/>
      <c r="BD439" s="444"/>
      <c r="BF439" s="336"/>
    </row>
    <row r="440" spans="2:58" hidden="1" outlineLevel="1" x14ac:dyDescent="0.35">
      <c r="B440" s="411"/>
      <c r="C440" s="516"/>
      <c r="D440" s="502"/>
      <c r="AS440" s="329"/>
      <c r="BC440" s="502"/>
      <c r="BD440" s="444"/>
      <c r="BF440" s="336"/>
    </row>
    <row r="441" spans="2:58" collapsed="1" x14ac:dyDescent="0.35">
      <c r="B441" s="411"/>
      <c r="C441" s="516"/>
      <c r="D441" s="502"/>
      <c r="AS441" s="329"/>
      <c r="BC441" s="502"/>
      <c r="BD441" s="444"/>
      <c r="BF441" s="336"/>
    </row>
    <row r="442" spans="2:58" x14ac:dyDescent="0.35">
      <c r="B442" s="411"/>
      <c r="C442" s="516"/>
      <c r="D442" s="502"/>
      <c r="AS442" s="329"/>
      <c r="BC442" s="502"/>
      <c r="BD442" s="444"/>
      <c r="BF442" s="336"/>
    </row>
    <row r="443" spans="2:58" x14ac:dyDescent="0.35">
      <c r="B443" s="411"/>
      <c r="C443" s="516"/>
      <c r="D443" s="502"/>
      <c r="AS443" s="329"/>
      <c r="BC443" s="502"/>
      <c r="BD443" s="444"/>
      <c r="BF443" s="336"/>
    </row>
    <row r="444" spans="2:58" x14ac:dyDescent="0.35">
      <c r="B444" s="411"/>
      <c r="C444" s="516"/>
      <c r="D444" s="502"/>
      <c r="AS444" s="329"/>
      <c r="BC444" s="502"/>
      <c r="BD444" s="444"/>
      <c r="BF444" s="336"/>
    </row>
    <row r="445" spans="2:58" x14ac:dyDescent="0.35">
      <c r="B445" s="411"/>
      <c r="C445" s="516"/>
      <c r="D445" s="502"/>
      <c r="AS445" s="329"/>
      <c r="BC445" s="502"/>
      <c r="BD445" s="444"/>
      <c r="BF445" s="336"/>
    </row>
    <row r="446" spans="2:58" x14ac:dyDescent="0.35">
      <c r="B446" s="411"/>
      <c r="C446" s="516"/>
      <c r="D446" s="502"/>
      <c r="AS446" s="329"/>
      <c r="BC446" s="502"/>
      <c r="BD446" s="444"/>
      <c r="BF446" s="336"/>
    </row>
    <row r="447" spans="2:58" x14ac:dyDescent="0.35">
      <c r="B447" s="411"/>
      <c r="C447" s="516"/>
      <c r="D447" s="502"/>
      <c r="AS447" s="329"/>
      <c r="BC447" s="502"/>
      <c r="BD447" s="444"/>
      <c r="BF447" s="336"/>
    </row>
    <row r="448" spans="2:58" x14ac:dyDescent="0.35">
      <c r="B448" s="411"/>
      <c r="C448" s="516"/>
      <c r="D448" s="502"/>
      <c r="AS448" s="329"/>
      <c r="BC448" s="502"/>
      <c r="BD448" s="444"/>
      <c r="BF448" s="336"/>
    </row>
    <row r="449" spans="2:58" x14ac:dyDescent="0.35">
      <c r="B449" s="411"/>
      <c r="C449" s="516"/>
      <c r="D449" s="502"/>
      <c r="AS449" s="329"/>
      <c r="BC449" s="502"/>
      <c r="BD449" s="444"/>
      <c r="BF449" s="336"/>
    </row>
    <row r="450" spans="2:58" x14ac:dyDescent="0.35">
      <c r="B450" s="411"/>
      <c r="C450" s="516"/>
      <c r="D450" s="502"/>
      <c r="AS450" s="329"/>
      <c r="BC450" s="502"/>
      <c r="BD450" s="444"/>
      <c r="BF450" s="336"/>
    </row>
    <row r="451" spans="2:58" x14ac:dyDescent="0.35">
      <c r="B451" s="411"/>
      <c r="C451" s="516"/>
      <c r="D451" s="502"/>
      <c r="AS451" s="329"/>
      <c r="BC451" s="502"/>
      <c r="BD451" s="444"/>
      <c r="BF451" s="336"/>
    </row>
    <row r="452" spans="2:58" x14ac:dyDescent="0.35">
      <c r="B452" s="411"/>
      <c r="C452" s="516"/>
      <c r="D452" s="502"/>
      <c r="AS452" s="329"/>
      <c r="BC452" s="502"/>
      <c r="BD452" s="444"/>
      <c r="BF452" s="336"/>
    </row>
    <row r="453" spans="2:58" x14ac:dyDescent="0.35">
      <c r="B453" s="411"/>
      <c r="C453" s="516"/>
      <c r="D453" s="502"/>
      <c r="AS453" s="329"/>
      <c r="BC453" s="502"/>
      <c r="BD453" s="444"/>
      <c r="BF453" s="336"/>
    </row>
    <row r="454" spans="2:58" x14ac:dyDescent="0.35">
      <c r="B454" s="411"/>
      <c r="C454" s="516"/>
      <c r="D454" s="502"/>
      <c r="AS454" s="329"/>
      <c r="BC454" s="502"/>
      <c r="BD454" s="444"/>
      <c r="BF454" s="336"/>
    </row>
    <row r="455" spans="2:58" x14ac:dyDescent="0.35">
      <c r="B455" s="411"/>
      <c r="C455" s="516"/>
      <c r="D455" s="502"/>
      <c r="AS455" s="329"/>
      <c r="BC455" s="502"/>
      <c r="BD455" s="444"/>
      <c r="BF455" s="336"/>
    </row>
    <row r="456" spans="2:58" x14ac:dyDescent="0.35">
      <c r="B456" s="411"/>
      <c r="C456" s="516"/>
      <c r="D456" s="502"/>
      <c r="AS456" s="329"/>
      <c r="BC456" s="502"/>
      <c r="BD456" s="444"/>
      <c r="BF456" s="336"/>
    </row>
    <row r="457" spans="2:58" x14ac:dyDescent="0.35">
      <c r="B457" s="411"/>
      <c r="C457" s="516"/>
      <c r="D457" s="502"/>
      <c r="AS457" s="329"/>
      <c r="BC457" s="502"/>
      <c r="BD457" s="444"/>
      <c r="BF457" s="336"/>
    </row>
    <row r="458" spans="2:58" x14ac:dyDescent="0.35">
      <c r="B458" s="411"/>
      <c r="C458" s="516"/>
      <c r="D458" s="502"/>
      <c r="AS458" s="329"/>
      <c r="BC458" s="502"/>
      <c r="BD458" s="444"/>
      <c r="BF458" s="336"/>
    </row>
    <row r="459" spans="2:58" x14ac:dyDescent="0.35">
      <c r="B459" s="411"/>
      <c r="C459" s="516"/>
      <c r="D459" s="502"/>
      <c r="AS459" s="329"/>
      <c r="BC459" s="502"/>
      <c r="BD459" s="444"/>
      <c r="BF459" s="336"/>
    </row>
    <row r="460" spans="2:58" x14ac:dyDescent="0.35">
      <c r="B460" s="411"/>
      <c r="C460" s="516"/>
      <c r="D460" s="502"/>
      <c r="AS460" s="329"/>
      <c r="BC460" s="502"/>
      <c r="BD460" s="444"/>
      <c r="BF460" s="336"/>
    </row>
    <row r="461" spans="2:58" x14ac:dyDescent="0.35">
      <c r="B461" s="411"/>
      <c r="C461" s="516"/>
      <c r="D461" s="502"/>
      <c r="AS461" s="329"/>
      <c r="BC461" s="502"/>
      <c r="BD461" s="444"/>
      <c r="BF461" s="336"/>
    </row>
    <row r="462" spans="2:58" hidden="1" outlineLevel="1" x14ac:dyDescent="0.35">
      <c r="B462" s="411"/>
      <c r="C462" s="516"/>
      <c r="D462" s="502"/>
      <c r="AS462" s="329"/>
      <c r="BC462" s="502"/>
      <c r="BD462" s="444"/>
      <c r="BF462" s="336"/>
    </row>
    <row r="463" spans="2:58" hidden="1" outlineLevel="1" x14ac:dyDescent="0.35">
      <c r="B463" s="411"/>
      <c r="C463" s="516"/>
      <c r="D463" s="502"/>
      <c r="AS463" s="329"/>
      <c r="BC463" s="502"/>
      <c r="BD463" s="444"/>
      <c r="BF463" s="336"/>
    </row>
    <row r="464" spans="2:58" hidden="1" outlineLevel="1" x14ac:dyDescent="0.35">
      <c r="B464" s="411"/>
      <c r="C464" s="516"/>
      <c r="D464" s="502"/>
      <c r="AS464" s="329"/>
      <c r="BC464" s="502"/>
      <c r="BD464" s="444"/>
      <c r="BF464" s="336"/>
    </row>
    <row r="465" spans="2:58" hidden="1" outlineLevel="1" x14ac:dyDescent="0.35">
      <c r="B465" s="411"/>
      <c r="C465" s="516"/>
      <c r="D465" s="502"/>
      <c r="AS465" s="329"/>
      <c r="BC465" s="502"/>
      <c r="BD465" s="444"/>
      <c r="BF465" s="336"/>
    </row>
    <row r="466" spans="2:58" hidden="1" outlineLevel="1" x14ac:dyDescent="0.35">
      <c r="B466" s="411"/>
      <c r="C466" s="516"/>
      <c r="D466" s="502"/>
      <c r="AS466" s="329"/>
      <c r="BC466" s="502"/>
      <c r="BD466" s="444"/>
      <c r="BF466" s="336"/>
    </row>
    <row r="467" spans="2:58" hidden="1" outlineLevel="1" x14ac:dyDescent="0.35">
      <c r="B467" s="411"/>
      <c r="C467" s="516"/>
      <c r="D467" s="502"/>
      <c r="AS467" s="329"/>
      <c r="BC467" s="502"/>
      <c r="BD467" s="444"/>
      <c r="BF467" s="336"/>
    </row>
    <row r="468" spans="2:58" collapsed="1" x14ac:dyDescent="0.35">
      <c r="B468" s="411"/>
      <c r="C468" s="516"/>
      <c r="D468" s="502"/>
      <c r="AS468" s="329"/>
      <c r="BC468" s="502"/>
      <c r="BD468" s="444"/>
      <c r="BF468" s="336"/>
    </row>
    <row r="469" spans="2:58" x14ac:dyDescent="0.35">
      <c r="B469" s="411"/>
      <c r="C469" s="516"/>
      <c r="D469" s="502"/>
      <c r="AS469" s="329"/>
      <c r="BC469" s="502"/>
      <c r="BD469" s="444"/>
      <c r="BF469" s="336"/>
    </row>
    <row r="470" spans="2:58" x14ac:dyDescent="0.35">
      <c r="B470" s="411"/>
      <c r="C470" s="516"/>
      <c r="D470" s="502"/>
      <c r="AS470" s="329"/>
      <c r="BC470" s="502"/>
      <c r="BD470" s="444"/>
      <c r="BF470" s="336"/>
    </row>
    <row r="471" spans="2:58" x14ac:dyDescent="0.35">
      <c r="B471" s="411"/>
      <c r="C471" s="516"/>
      <c r="D471" s="502"/>
      <c r="AS471" s="329"/>
      <c r="BC471" s="502"/>
      <c r="BD471" s="444"/>
      <c r="BF471" s="336"/>
    </row>
    <row r="472" spans="2:58" x14ac:dyDescent="0.35">
      <c r="B472" s="411"/>
      <c r="C472" s="516"/>
      <c r="D472" s="502"/>
      <c r="AS472" s="329"/>
      <c r="BC472" s="502"/>
      <c r="BD472" s="444"/>
      <c r="BF472" s="336"/>
    </row>
    <row r="473" spans="2:58" x14ac:dyDescent="0.35">
      <c r="B473" s="411"/>
      <c r="C473" s="516"/>
      <c r="D473" s="502"/>
      <c r="AS473" s="329"/>
      <c r="BC473" s="502"/>
      <c r="BD473" s="444"/>
      <c r="BF473" s="336"/>
    </row>
    <row r="474" spans="2:58" x14ac:dyDescent="0.35">
      <c r="B474" s="411"/>
      <c r="C474" s="516"/>
      <c r="D474" s="502"/>
      <c r="AS474" s="329"/>
      <c r="BC474" s="502"/>
      <c r="BD474" s="444"/>
      <c r="BF474" s="336"/>
    </row>
    <row r="475" spans="2:58" x14ac:dyDescent="0.35">
      <c r="B475" s="411"/>
      <c r="C475" s="516"/>
      <c r="D475" s="502"/>
      <c r="AS475" s="329"/>
      <c r="BC475" s="502"/>
      <c r="BD475" s="444"/>
      <c r="BF475" s="336"/>
    </row>
    <row r="476" spans="2:58" x14ac:dyDescent="0.35">
      <c r="B476" s="411"/>
      <c r="C476" s="516"/>
      <c r="D476" s="502"/>
      <c r="AS476" s="329"/>
      <c r="BC476" s="502"/>
      <c r="BD476" s="444"/>
      <c r="BF476" s="336"/>
    </row>
    <row r="477" spans="2:58" x14ac:dyDescent="0.35">
      <c r="B477" s="411"/>
      <c r="C477" s="516"/>
      <c r="D477" s="502"/>
      <c r="AS477" s="329"/>
      <c r="BC477" s="502"/>
      <c r="BD477" s="444"/>
      <c r="BF477" s="336"/>
    </row>
    <row r="478" spans="2:58" x14ac:dyDescent="0.35">
      <c r="B478" s="411"/>
      <c r="C478" s="516"/>
      <c r="D478" s="502"/>
      <c r="AS478" s="329"/>
      <c r="BC478" s="502"/>
      <c r="BD478" s="444"/>
      <c r="BF478" s="336"/>
    </row>
    <row r="479" spans="2:58" x14ac:dyDescent="0.35">
      <c r="B479" s="411"/>
      <c r="C479" s="516"/>
      <c r="D479" s="502"/>
      <c r="AS479" s="329"/>
      <c r="BC479" s="502"/>
      <c r="BD479" s="444"/>
      <c r="BF479" s="336"/>
    </row>
    <row r="480" spans="2:58" x14ac:dyDescent="0.35">
      <c r="B480" s="411"/>
      <c r="C480" s="516"/>
      <c r="D480" s="502"/>
      <c r="AS480" s="329"/>
      <c r="BC480" s="502"/>
      <c r="BD480" s="444"/>
      <c r="BF480" s="336"/>
    </row>
    <row r="481" spans="1:58" x14ac:dyDescent="0.35">
      <c r="B481" s="411"/>
      <c r="C481" s="516"/>
      <c r="D481" s="502"/>
      <c r="AS481" s="329"/>
      <c r="BC481" s="502"/>
      <c r="BD481" s="444"/>
      <c r="BF481" s="336"/>
    </row>
    <row r="482" spans="1:58" x14ac:dyDescent="0.35">
      <c r="B482" s="411"/>
      <c r="C482" s="516"/>
      <c r="D482" s="502"/>
      <c r="AS482" s="329"/>
      <c r="BC482" s="502"/>
      <c r="BD482" s="444"/>
      <c r="BF482" s="336"/>
    </row>
    <row r="483" spans="1:58" x14ac:dyDescent="0.35">
      <c r="B483" s="411"/>
      <c r="C483" s="516"/>
      <c r="D483" s="502"/>
      <c r="AS483" s="329"/>
      <c r="BC483" s="502"/>
      <c r="BD483" s="444"/>
      <c r="BF483" s="336"/>
    </row>
    <row r="484" spans="1:58" hidden="1" outlineLevel="1" x14ac:dyDescent="0.35">
      <c r="B484" s="411"/>
      <c r="C484" s="516"/>
      <c r="D484" s="502"/>
      <c r="AS484" s="329"/>
      <c r="BC484" s="502"/>
      <c r="BD484" s="444"/>
      <c r="BF484" s="336"/>
    </row>
    <row r="485" spans="1:58" hidden="1" outlineLevel="1" x14ac:dyDescent="0.35">
      <c r="B485" s="411"/>
      <c r="C485" s="516"/>
      <c r="D485" s="502"/>
      <c r="AS485" s="329"/>
      <c r="BC485" s="502"/>
      <c r="BD485" s="444"/>
      <c r="BF485" s="336"/>
    </row>
    <row r="486" spans="1:58" hidden="1" outlineLevel="1" x14ac:dyDescent="0.35">
      <c r="B486" s="411"/>
      <c r="C486" s="516"/>
      <c r="D486" s="502"/>
      <c r="AS486" s="329"/>
      <c r="BC486" s="502"/>
      <c r="BD486" s="444"/>
      <c r="BF486" s="336"/>
    </row>
    <row r="487" spans="1:58" hidden="1" outlineLevel="1" x14ac:dyDescent="0.35">
      <c r="B487" s="411"/>
      <c r="C487" s="516"/>
      <c r="D487" s="502"/>
      <c r="AS487" s="329"/>
      <c r="BC487" s="502"/>
      <c r="BD487" s="444"/>
      <c r="BF487" s="336"/>
    </row>
    <row r="488" spans="1:58" hidden="1" outlineLevel="1" x14ac:dyDescent="0.35">
      <c r="B488" s="411"/>
      <c r="C488" s="516"/>
      <c r="D488" s="502"/>
      <c r="AS488" s="329"/>
      <c r="BC488" s="502"/>
      <c r="BD488" s="444"/>
      <c r="BF488" s="336"/>
    </row>
    <row r="489" spans="1:58" hidden="1" outlineLevel="1" x14ac:dyDescent="0.35">
      <c r="B489" s="411"/>
      <c r="C489" s="516"/>
      <c r="D489" s="502"/>
      <c r="AS489" s="329"/>
      <c r="BC489" s="502"/>
      <c r="BD489" s="444"/>
      <c r="BF489" s="336"/>
    </row>
    <row r="490" spans="1:58" collapsed="1" x14ac:dyDescent="0.35">
      <c r="B490" s="411"/>
      <c r="C490" s="516"/>
      <c r="D490" s="502"/>
      <c r="AS490" s="329"/>
      <c r="BC490" s="502"/>
      <c r="BD490" s="444"/>
      <c r="BF490" s="336"/>
    </row>
    <row r="491" spans="1:58" x14ac:dyDescent="0.35">
      <c r="A491" s="411" t="s">
        <v>955</v>
      </c>
      <c r="B491" s="411"/>
      <c r="C491" s="516"/>
      <c r="D491" s="502"/>
      <c r="AS491" s="329"/>
      <c r="BC491" s="502"/>
      <c r="BD491" s="444"/>
      <c r="BE491" s="536"/>
      <c r="BF491" s="336"/>
    </row>
    <row r="492" spans="1:58" x14ac:dyDescent="0.35">
      <c r="A492" s="411" t="s">
        <v>955</v>
      </c>
      <c r="B492" s="411"/>
      <c r="C492" s="516"/>
      <c r="D492" s="502"/>
      <c r="AS492" s="329"/>
      <c r="BC492" s="502"/>
      <c r="BD492" s="444"/>
      <c r="BE492" s="536"/>
      <c r="BF492" s="336"/>
    </row>
    <row r="493" spans="1:58" x14ac:dyDescent="0.35">
      <c r="A493" s="411" t="s">
        <v>955</v>
      </c>
      <c r="B493" s="411"/>
      <c r="C493" s="516"/>
      <c r="D493" s="502"/>
      <c r="AS493" s="329"/>
      <c r="BC493" s="502"/>
      <c r="BD493" s="444"/>
      <c r="BE493" s="536"/>
      <c r="BF493" s="336"/>
    </row>
    <row r="494" spans="1:58" x14ac:dyDescent="0.35">
      <c r="A494" s="411" t="s">
        <v>955</v>
      </c>
      <c r="B494" s="411"/>
      <c r="C494" s="516"/>
      <c r="D494" s="502"/>
      <c r="AS494" s="329"/>
      <c r="BC494" s="502"/>
      <c r="BD494" s="444"/>
      <c r="BE494" s="536"/>
      <c r="BF494" s="336"/>
    </row>
    <row r="495" spans="1:58" x14ac:dyDescent="0.35">
      <c r="A495" s="411" t="s">
        <v>955</v>
      </c>
      <c r="B495" s="411"/>
      <c r="C495" s="516"/>
      <c r="D495" s="502"/>
      <c r="AS495" s="329"/>
      <c r="BC495" s="502"/>
      <c r="BD495" s="444"/>
      <c r="BE495" s="536"/>
      <c r="BF495" s="336"/>
    </row>
    <row r="496" spans="1:58" x14ac:dyDescent="0.35">
      <c r="A496" s="411" t="s">
        <v>955</v>
      </c>
      <c r="B496" s="411"/>
      <c r="C496" s="516"/>
      <c r="D496" s="502"/>
      <c r="AS496" s="329"/>
      <c r="BC496" s="502"/>
      <c r="BD496" s="444"/>
      <c r="BE496" s="536"/>
      <c r="BF496" s="336"/>
    </row>
    <row r="497" spans="1:58" x14ac:dyDescent="0.35">
      <c r="A497" s="411" t="s">
        <v>955</v>
      </c>
      <c r="B497" s="411"/>
      <c r="C497" s="516"/>
      <c r="D497" s="502"/>
      <c r="AS497" s="329"/>
      <c r="BC497" s="502"/>
      <c r="BD497" s="444"/>
      <c r="BE497" s="536"/>
      <c r="BF497" s="336"/>
    </row>
    <row r="498" spans="1:58" x14ac:dyDescent="0.35">
      <c r="A498" s="411" t="s">
        <v>955</v>
      </c>
      <c r="B498" s="411"/>
      <c r="C498" s="516"/>
      <c r="D498" s="502"/>
      <c r="AS498" s="329"/>
      <c r="BC498" s="502"/>
      <c r="BD498" s="444"/>
      <c r="BE498" s="536"/>
      <c r="BF498" s="336"/>
    </row>
    <row r="499" spans="1:58" x14ac:dyDescent="0.35">
      <c r="A499" s="411" t="s">
        <v>955</v>
      </c>
      <c r="B499" s="411"/>
      <c r="C499" s="516"/>
      <c r="D499" s="502"/>
      <c r="AS499" s="329"/>
      <c r="BC499" s="502"/>
      <c r="BD499" s="444"/>
      <c r="BE499" s="536"/>
      <c r="BF499" s="336"/>
    </row>
    <row r="500" spans="1:58" x14ac:dyDescent="0.35">
      <c r="A500" s="411" t="s">
        <v>955</v>
      </c>
      <c r="B500" s="411"/>
      <c r="C500" s="516"/>
      <c r="D500" s="502"/>
      <c r="AS500" s="329"/>
      <c r="BC500" s="502"/>
      <c r="BD500" s="444"/>
      <c r="BE500" s="536"/>
      <c r="BF500" s="336"/>
    </row>
    <row r="501" spans="1:58" x14ac:dyDescent="0.35">
      <c r="A501" s="411" t="s">
        <v>955</v>
      </c>
      <c r="B501" s="411"/>
      <c r="C501" s="516"/>
      <c r="D501" s="502"/>
      <c r="AS501" s="329"/>
      <c r="BC501" s="502"/>
      <c r="BD501" s="444"/>
      <c r="BE501" s="536"/>
      <c r="BF501" s="336"/>
    </row>
    <row r="502" spans="1:58" x14ac:dyDescent="0.35">
      <c r="A502" s="411" t="s">
        <v>955</v>
      </c>
      <c r="B502" s="411"/>
      <c r="C502" s="516"/>
      <c r="D502" s="502"/>
      <c r="AS502" s="329"/>
      <c r="BC502" s="502"/>
      <c r="BD502" s="444"/>
      <c r="BE502" s="536"/>
      <c r="BF502" s="336"/>
    </row>
    <row r="503" spans="1:58" x14ac:dyDescent="0.35">
      <c r="A503" s="411" t="s">
        <v>955</v>
      </c>
      <c r="B503" s="411"/>
      <c r="C503" s="516"/>
      <c r="D503" s="502"/>
      <c r="AS503" s="329"/>
      <c r="BC503" s="502"/>
      <c r="BD503" s="444"/>
      <c r="BE503" s="536"/>
      <c r="BF503" s="336"/>
    </row>
    <row r="504" spans="1:58" x14ac:dyDescent="0.35">
      <c r="A504" s="411" t="s">
        <v>955</v>
      </c>
      <c r="B504" s="411"/>
      <c r="C504" s="516"/>
      <c r="D504" s="502"/>
      <c r="AS504" s="329"/>
      <c r="BC504" s="502"/>
      <c r="BD504" s="444"/>
      <c r="BE504" s="536"/>
      <c r="BF504" s="336"/>
    </row>
    <row r="505" spans="1:58" x14ac:dyDescent="0.35">
      <c r="A505" s="411" t="s">
        <v>955</v>
      </c>
      <c r="B505" s="411"/>
      <c r="C505" s="516"/>
      <c r="D505" s="502"/>
      <c r="AS505" s="329"/>
      <c r="BC505" s="502"/>
      <c r="BD505" s="444"/>
      <c r="BE505" s="536"/>
      <c r="BF505" s="336"/>
    </row>
    <row r="506" spans="1:58" hidden="1" outlineLevel="1" x14ac:dyDescent="0.35">
      <c r="A506" s="411" t="s">
        <v>955</v>
      </c>
      <c r="B506" s="411"/>
      <c r="C506" s="516"/>
      <c r="D506" s="502"/>
      <c r="AS506" s="329"/>
      <c r="BC506" s="502"/>
      <c r="BD506" s="444"/>
      <c r="BE506" s="536"/>
      <c r="BF506" s="336"/>
    </row>
    <row r="507" spans="1:58" hidden="1" outlineLevel="1" x14ac:dyDescent="0.35">
      <c r="A507" s="411" t="s">
        <v>955</v>
      </c>
      <c r="B507" s="411"/>
      <c r="C507" s="516"/>
      <c r="D507" s="502"/>
      <c r="AS507" s="329"/>
      <c r="BC507" s="502"/>
      <c r="BD507" s="444"/>
      <c r="BE507" s="536"/>
      <c r="BF507" s="336"/>
    </row>
    <row r="508" spans="1:58" hidden="1" outlineLevel="1" x14ac:dyDescent="0.35">
      <c r="A508" s="411" t="s">
        <v>955</v>
      </c>
      <c r="B508" s="411"/>
      <c r="C508" s="516"/>
      <c r="D508" s="502"/>
      <c r="AS508" s="329"/>
      <c r="BC508" s="502"/>
      <c r="BD508" s="444"/>
      <c r="BE508" s="536"/>
      <c r="BF508" s="336"/>
    </row>
    <row r="509" spans="1:58" hidden="1" outlineLevel="1" x14ac:dyDescent="0.35">
      <c r="A509" s="411" t="s">
        <v>955</v>
      </c>
      <c r="B509" s="411"/>
      <c r="C509" s="516"/>
      <c r="D509" s="502"/>
      <c r="AS509" s="329"/>
      <c r="BC509" s="502"/>
      <c r="BD509" s="444"/>
      <c r="BE509" s="536"/>
      <c r="BF509" s="336"/>
    </row>
    <row r="510" spans="1:58" hidden="1" outlineLevel="1" x14ac:dyDescent="0.35">
      <c r="A510" s="411" t="s">
        <v>955</v>
      </c>
      <c r="B510" s="411"/>
      <c r="C510" s="516"/>
      <c r="D510" s="502"/>
      <c r="AS510" s="329"/>
      <c r="BC510" s="502"/>
      <c r="BD510" s="444"/>
      <c r="BE510" s="536"/>
      <c r="BF510" s="336"/>
    </row>
    <row r="511" spans="1:58" hidden="1" outlineLevel="1" x14ac:dyDescent="0.35">
      <c r="A511" s="411" t="s">
        <v>955</v>
      </c>
      <c r="B511" s="411"/>
      <c r="C511" s="516"/>
      <c r="D511" s="502"/>
      <c r="AS511" s="329"/>
      <c r="BC511" s="502"/>
      <c r="BD511" s="444"/>
      <c r="BE511" s="536"/>
      <c r="BF511" s="336"/>
    </row>
    <row r="512" spans="1:58" collapsed="1" x14ac:dyDescent="0.35">
      <c r="B512" s="411"/>
      <c r="C512" s="516"/>
      <c r="D512" s="502"/>
      <c r="AS512" s="329"/>
      <c r="BC512" s="502"/>
      <c r="BD512" s="444"/>
    </row>
    <row r="513" spans="2:56" x14ac:dyDescent="0.35">
      <c r="B513" s="411"/>
      <c r="C513" s="516"/>
      <c r="D513" s="502"/>
      <c r="AS513" s="329"/>
      <c r="BC513" s="502"/>
      <c r="BD513" s="444"/>
    </row>
    <row r="514" spans="2:56" x14ac:dyDescent="0.35">
      <c r="B514" s="411"/>
      <c r="C514" s="516"/>
      <c r="D514" s="502"/>
      <c r="AS514" s="329"/>
      <c r="BC514" s="502"/>
      <c r="BD514" s="444"/>
    </row>
    <row r="515" spans="2:56" x14ac:dyDescent="0.35">
      <c r="B515" s="411"/>
      <c r="C515" s="516"/>
      <c r="D515" s="502"/>
      <c r="AS515" s="329"/>
      <c r="BC515" s="502"/>
      <c r="BD515" s="444"/>
    </row>
    <row r="516" spans="2:56" x14ac:dyDescent="0.35">
      <c r="B516" s="411"/>
      <c r="C516" s="516"/>
      <c r="D516" s="502"/>
      <c r="AS516" s="329"/>
      <c r="BC516" s="502"/>
      <c r="BD516" s="444"/>
    </row>
    <row r="517" spans="2:56" x14ac:dyDescent="0.35">
      <c r="B517" s="411"/>
      <c r="C517" s="516"/>
      <c r="D517" s="502"/>
      <c r="AS517" s="329"/>
      <c r="BC517" s="502"/>
      <c r="BD517" s="444"/>
    </row>
    <row r="518" spans="2:56" x14ac:dyDescent="0.35">
      <c r="B518" s="411"/>
      <c r="C518" s="516"/>
      <c r="D518" s="502"/>
      <c r="AS518" s="329"/>
      <c r="BC518" s="502"/>
      <c r="BD518" s="444"/>
    </row>
    <row r="519" spans="2:56" x14ac:dyDescent="0.35">
      <c r="B519" s="411"/>
      <c r="C519" s="516"/>
      <c r="D519" s="502"/>
      <c r="AS519" s="329"/>
      <c r="BC519" s="502"/>
      <c r="BD519" s="444"/>
    </row>
    <row r="520" spans="2:56" x14ac:dyDescent="0.35">
      <c r="B520" s="411"/>
      <c r="C520" s="516"/>
      <c r="D520" s="502"/>
      <c r="AS520" s="329"/>
      <c r="BC520" s="502"/>
      <c r="BD520" s="444"/>
    </row>
    <row r="521" spans="2:56" x14ac:dyDescent="0.35">
      <c r="B521" s="411"/>
      <c r="C521" s="516"/>
      <c r="D521" s="502"/>
      <c r="AS521" s="329"/>
      <c r="BC521" s="502"/>
      <c r="BD521" s="444"/>
    </row>
    <row r="522" spans="2:56" x14ac:dyDescent="0.35">
      <c r="B522" s="411"/>
      <c r="C522" s="516"/>
      <c r="D522" s="502"/>
      <c r="AS522" s="329"/>
      <c r="BC522" s="502"/>
      <c r="BD522" s="444"/>
    </row>
    <row r="523" spans="2:56" x14ac:dyDescent="0.35">
      <c r="B523" s="411"/>
      <c r="C523" s="516"/>
      <c r="D523" s="502"/>
      <c r="AS523" s="329"/>
      <c r="BC523" s="502"/>
      <c r="BD523" s="444"/>
    </row>
    <row r="524" spans="2:56" x14ac:dyDescent="0.35">
      <c r="B524" s="411"/>
      <c r="C524" s="516"/>
      <c r="D524" s="502"/>
      <c r="AS524" s="329"/>
      <c r="BC524" s="502"/>
      <c r="BD524" s="444"/>
    </row>
    <row r="525" spans="2:56" x14ac:dyDescent="0.35">
      <c r="B525" s="411"/>
      <c r="C525" s="516"/>
      <c r="D525" s="502"/>
      <c r="AS525" s="329"/>
      <c r="BC525" s="502"/>
      <c r="BD525" s="444"/>
    </row>
    <row r="526" spans="2:56" x14ac:dyDescent="0.35">
      <c r="B526" s="411"/>
      <c r="C526" s="516"/>
      <c r="D526" s="502"/>
      <c r="AS526" s="329"/>
      <c r="BC526" s="502"/>
      <c r="BD526" s="444"/>
    </row>
    <row r="527" spans="2:56" x14ac:dyDescent="0.35">
      <c r="B527" s="411"/>
      <c r="C527" s="516"/>
      <c r="D527" s="502"/>
      <c r="AS527" s="329"/>
      <c r="BC527" s="502"/>
      <c r="BD527" s="444"/>
    </row>
    <row r="528" spans="2:56" x14ac:dyDescent="0.35">
      <c r="B528" s="411"/>
      <c r="C528" s="516"/>
      <c r="D528" s="502"/>
      <c r="AS528" s="329"/>
      <c r="BC528" s="502"/>
      <c r="BD528" s="444"/>
    </row>
    <row r="529" spans="45:56" x14ac:dyDescent="0.35">
      <c r="AS529" s="329"/>
      <c r="BD529" s="444"/>
    </row>
    <row r="530" spans="45:56" x14ac:dyDescent="0.35">
      <c r="AS530" s="329"/>
      <c r="BD530" s="444"/>
    </row>
    <row r="531" spans="45:56" x14ac:dyDescent="0.35">
      <c r="AS531" s="329"/>
      <c r="BD531" s="444"/>
    </row>
    <row r="532" spans="45:56" x14ac:dyDescent="0.35">
      <c r="AS532" s="329"/>
      <c r="BD532" s="444"/>
    </row>
    <row r="533" spans="45:56" x14ac:dyDescent="0.35">
      <c r="AS533" s="329"/>
      <c r="BD533" s="444"/>
    </row>
    <row r="534" spans="45:56" x14ac:dyDescent="0.35">
      <c r="AS534" s="329"/>
    </row>
    <row r="535" spans="45:56" x14ac:dyDescent="0.35">
      <c r="AS535" s="329"/>
    </row>
    <row r="536" spans="45:56" x14ac:dyDescent="0.35">
      <c r="AS536" s="329"/>
    </row>
    <row r="537" spans="45:56" x14ac:dyDescent="0.35">
      <c r="AS537" s="329"/>
    </row>
    <row r="538" spans="45:56" x14ac:dyDescent="0.35">
      <c r="AS538" s="329"/>
    </row>
    <row r="539" spans="45:56" x14ac:dyDescent="0.35">
      <c r="AS539" s="329"/>
    </row>
    <row r="540" spans="45:56" x14ac:dyDescent="0.35">
      <c r="AS540" s="329"/>
    </row>
    <row r="541" spans="45:56" x14ac:dyDescent="0.35">
      <c r="AS541" s="329"/>
    </row>
    <row r="542" spans="45:56" x14ac:dyDescent="0.35">
      <c r="AS542" s="329"/>
    </row>
    <row r="543" spans="45:56" x14ac:dyDescent="0.35">
      <c r="AS543" s="329"/>
    </row>
    <row r="544" spans="45:56" x14ac:dyDescent="0.35">
      <c r="AS544" s="329"/>
    </row>
    <row r="545" spans="45:45" x14ac:dyDescent="0.35">
      <c r="AS545" s="329"/>
    </row>
    <row r="546" spans="45:45" ht="12" customHeight="1" x14ac:dyDescent="0.35">
      <c r="AS546" s="329"/>
    </row>
  </sheetData>
  <conditionalFormatting sqref="D14 E375:AZ375 E436:AZ436">
    <cfRule type="cellIs" dxfId="67" priority="71" operator="notEqual">
      <formula>0</formula>
    </cfRule>
  </conditionalFormatting>
  <conditionalFormatting sqref="D70 AV70:AZ70 BB70:BC70 BB375:BC375 BB436:BC436">
    <cfRule type="cellIs" dxfId="66" priority="72" operator="notEqual">
      <formula>0</formula>
    </cfRule>
  </conditionalFormatting>
  <conditionalFormatting sqref="D71:D72">
    <cfRule type="colorScale" priority="45">
      <colorScale>
        <cfvo type="min"/>
        <cfvo type="percentile" val="50"/>
        <cfvo type="max"/>
        <color rgb="FFF8696B"/>
        <color rgb="FFFFEB84"/>
        <color rgb="FF63BE7B"/>
      </colorScale>
    </cfRule>
  </conditionalFormatting>
  <conditionalFormatting sqref="D71:D73">
    <cfRule type="cellIs" dxfId="65" priority="46" operator="notEqual">
      <formula>0</formula>
    </cfRule>
  </conditionalFormatting>
  <conditionalFormatting sqref="D75">
    <cfRule type="cellIs" dxfId="64" priority="76" operator="notEqual">
      <formula>0</formula>
    </cfRule>
  </conditionalFormatting>
  <conditionalFormatting sqref="D131 AV131:AZ131 BB131:BC131">
    <cfRule type="cellIs" dxfId="63" priority="44" operator="notEqual">
      <formula>0</formula>
    </cfRule>
  </conditionalFormatting>
  <conditionalFormatting sqref="D132:D133">
    <cfRule type="colorScale" priority="40">
      <colorScale>
        <cfvo type="min"/>
        <cfvo type="percentile" val="50"/>
        <cfvo type="max"/>
        <color rgb="FFF8696B"/>
        <color rgb="FFFFEB84"/>
        <color rgb="FF63BE7B"/>
      </colorScale>
    </cfRule>
  </conditionalFormatting>
  <conditionalFormatting sqref="D132:D134">
    <cfRule type="cellIs" dxfId="62" priority="41" operator="notEqual">
      <formula>0</formula>
    </cfRule>
  </conditionalFormatting>
  <conditionalFormatting sqref="D136">
    <cfRule type="cellIs" dxfId="61" priority="67" operator="notEqual">
      <formula>0</formula>
    </cfRule>
  </conditionalFormatting>
  <conditionalFormatting sqref="D192 AV192:AZ192 BB192:BC192">
    <cfRule type="cellIs" dxfId="60" priority="39" operator="notEqual">
      <formula>0</formula>
    </cfRule>
  </conditionalFormatting>
  <conditionalFormatting sqref="D193:D194">
    <cfRule type="colorScale" priority="35">
      <colorScale>
        <cfvo type="min"/>
        <cfvo type="percentile" val="50"/>
        <cfvo type="max"/>
        <color rgb="FFF8696B"/>
        <color rgb="FFFFEB84"/>
        <color rgb="FF63BE7B"/>
      </colorScale>
    </cfRule>
  </conditionalFormatting>
  <conditionalFormatting sqref="D193:D195">
    <cfRule type="cellIs" dxfId="59" priority="36" operator="notEqual">
      <formula>0</formula>
    </cfRule>
  </conditionalFormatting>
  <conditionalFormatting sqref="D197:D198">
    <cfRule type="cellIs" dxfId="58" priority="69" operator="notEqual">
      <formula>0</formula>
    </cfRule>
  </conditionalFormatting>
  <conditionalFormatting sqref="D253 AV253:AZ253 BB253:BC253">
    <cfRule type="cellIs" dxfId="57" priority="34" operator="notEqual">
      <formula>0</formula>
    </cfRule>
  </conditionalFormatting>
  <conditionalFormatting sqref="D254:D255">
    <cfRule type="colorScale" priority="30">
      <colorScale>
        <cfvo type="min"/>
        <cfvo type="percentile" val="50"/>
        <cfvo type="max"/>
        <color rgb="FFF8696B"/>
        <color rgb="FFFFEB84"/>
        <color rgb="FF63BE7B"/>
      </colorScale>
    </cfRule>
  </conditionalFormatting>
  <conditionalFormatting sqref="D254:D256">
    <cfRule type="cellIs" dxfId="56" priority="31" operator="notEqual">
      <formula>0</formula>
    </cfRule>
  </conditionalFormatting>
  <conditionalFormatting sqref="D258:D259">
    <cfRule type="cellIs" dxfId="55" priority="65" operator="notEqual">
      <formula>0</formula>
    </cfRule>
  </conditionalFormatting>
  <conditionalFormatting sqref="D314 AV314:AZ314 BB314:BC314">
    <cfRule type="cellIs" dxfId="54" priority="29" operator="notEqual">
      <formula>0</formula>
    </cfRule>
  </conditionalFormatting>
  <conditionalFormatting sqref="D315:D316">
    <cfRule type="colorScale" priority="25">
      <colorScale>
        <cfvo type="min"/>
        <cfvo type="percentile" val="50"/>
        <cfvo type="max"/>
        <color rgb="FFF8696B"/>
        <color rgb="FFFFEB84"/>
        <color rgb="FF63BE7B"/>
      </colorScale>
    </cfRule>
  </conditionalFormatting>
  <conditionalFormatting sqref="D315:D317">
    <cfRule type="cellIs" dxfId="53" priority="26" operator="notEqual">
      <formula>0</formula>
    </cfRule>
  </conditionalFormatting>
  <conditionalFormatting sqref="D319:D320">
    <cfRule type="cellIs" dxfId="52" priority="63" operator="notEqual">
      <formula>0</formula>
    </cfRule>
  </conditionalFormatting>
  <conditionalFormatting sqref="D375">
    <cfRule type="cellIs" dxfId="51" priority="58" operator="notEqual">
      <formula>0</formula>
    </cfRule>
  </conditionalFormatting>
  <conditionalFormatting sqref="D375:D378">
    <cfRule type="cellIs" dxfId="50" priority="53" operator="notEqual">
      <formula>0</formula>
    </cfRule>
  </conditionalFormatting>
  <conditionalFormatting sqref="D380:D381">
    <cfRule type="cellIs" dxfId="49" priority="60" operator="notEqual">
      <formula>0</formula>
    </cfRule>
  </conditionalFormatting>
  <conditionalFormatting sqref="D436">
    <cfRule type="cellIs" dxfId="48" priority="57" operator="notEqual">
      <formula>0</formula>
    </cfRule>
  </conditionalFormatting>
  <conditionalFormatting sqref="D436:D528">
    <cfRule type="cellIs" dxfId="47" priority="51" operator="notEqual">
      <formula>0</formula>
    </cfRule>
  </conditionalFormatting>
  <conditionalFormatting sqref="D439:D528">
    <cfRule type="cellIs" dxfId="46" priority="61" operator="notEqual">
      <formula>0</formula>
    </cfRule>
  </conditionalFormatting>
  <conditionalFormatting sqref="D70:AU70 D253:AU253 D314:AU314">
    <cfRule type="cellIs" dxfId="45" priority="8" operator="notEqual">
      <formula>0</formula>
    </cfRule>
  </conditionalFormatting>
  <conditionalFormatting sqref="D131:AU131">
    <cfRule type="cellIs" dxfId="44" priority="1" operator="notEqual">
      <formula>0</formula>
    </cfRule>
  </conditionalFormatting>
  <conditionalFormatting sqref="D192:AU192">
    <cfRule type="cellIs" dxfId="43" priority="2" operator="notEqual">
      <formula>0</formula>
    </cfRule>
  </conditionalFormatting>
  <conditionalFormatting sqref="D9:AZ9 BB9:BC9 E14:AZ14 E75:AZ75 E136:AZ136 E197:AZ197 E258:AZ258 E319:AZ319 E380:AZ380">
    <cfRule type="containsErrors" dxfId="42" priority="6">
      <formula>ISERROR(D9)</formula>
    </cfRule>
  </conditionalFormatting>
  <conditionalFormatting sqref="E70:N70 BB70 P70:AZ70">
    <cfRule type="colorScale" priority="77">
      <colorScale>
        <cfvo type="min"/>
        <cfvo type="percentile" val="50"/>
        <cfvo type="max"/>
        <color rgb="FFF8696B"/>
        <color rgb="FFFFEB84"/>
        <color rgb="FF63BE7B"/>
      </colorScale>
    </cfRule>
  </conditionalFormatting>
  <conditionalFormatting sqref="E131:N131 AK131:AL131 P131:AG131 BB131 AP131:AZ131">
    <cfRule type="colorScale" priority="78">
      <colorScale>
        <cfvo type="min"/>
        <cfvo type="percentile" val="50"/>
        <cfvo type="max"/>
        <color rgb="FFF8696B"/>
        <color rgb="FFFFEB84"/>
        <color rgb="FF63BE7B"/>
      </colorScale>
    </cfRule>
  </conditionalFormatting>
  <conditionalFormatting sqref="E192:N192 AK192:AL192 P192:AF192 BB192 AP192:AZ192">
    <cfRule type="colorScale" priority="79">
      <colorScale>
        <cfvo type="min"/>
        <cfvo type="percentile" val="50"/>
        <cfvo type="max"/>
        <color rgb="FFF8696B"/>
        <color rgb="FFFFEB84"/>
        <color rgb="FF63BE7B"/>
      </colorScale>
    </cfRule>
  </conditionalFormatting>
  <conditionalFormatting sqref="E253:N253 AK253:AL253 P253:AF253 BB253 AP253:AZ253">
    <cfRule type="colorScale" priority="80">
      <colorScale>
        <cfvo type="min"/>
        <cfvo type="percentile" val="50"/>
        <cfvo type="max"/>
        <color rgb="FFF8696B"/>
        <color rgb="FFFFEB84"/>
        <color rgb="FF63BE7B"/>
      </colorScale>
    </cfRule>
  </conditionalFormatting>
  <conditionalFormatting sqref="E314:N314 AK314:AL314 P314:AF314 BB314 AP314:AZ314">
    <cfRule type="colorScale" priority="81">
      <colorScale>
        <cfvo type="min"/>
        <cfvo type="percentile" val="50"/>
        <cfvo type="max"/>
        <color rgb="FFF8696B"/>
        <color rgb="FFFFEB84"/>
        <color rgb="FF63BE7B"/>
      </colorScale>
    </cfRule>
  </conditionalFormatting>
  <conditionalFormatting sqref="G4:I4">
    <cfRule type="containsText" dxfId="41" priority="74" operator="containsText" text="CHECK NEEDED">
      <formula>NOT(ISERROR(SEARCH("CHECK NEEDED",G4)))</formula>
    </cfRule>
  </conditionalFormatting>
  <conditionalFormatting sqref="O70">
    <cfRule type="colorScale" priority="9">
      <colorScale>
        <cfvo type="min"/>
        <cfvo type="percentile" val="50"/>
        <cfvo type="max"/>
        <color rgb="FFF8696B"/>
        <color rgb="FFFFEB84"/>
        <color rgb="FF63BE7B"/>
      </colorScale>
    </cfRule>
  </conditionalFormatting>
  <conditionalFormatting sqref="O131">
    <cfRule type="colorScale" priority="10">
      <colorScale>
        <cfvo type="min"/>
        <cfvo type="percentile" val="50"/>
        <cfvo type="max"/>
        <color rgb="FFF8696B"/>
        <color rgb="FFFFEB84"/>
        <color rgb="FF63BE7B"/>
      </colorScale>
    </cfRule>
  </conditionalFormatting>
  <conditionalFormatting sqref="O192">
    <cfRule type="colorScale" priority="11">
      <colorScale>
        <cfvo type="min"/>
        <cfvo type="percentile" val="50"/>
        <cfvo type="max"/>
        <color rgb="FFF8696B"/>
        <color rgb="FFFFEB84"/>
        <color rgb="FF63BE7B"/>
      </colorScale>
    </cfRule>
  </conditionalFormatting>
  <conditionalFormatting sqref="O253">
    <cfRule type="colorScale" priority="12">
      <colorScale>
        <cfvo type="min"/>
        <cfvo type="percentile" val="50"/>
        <cfvo type="max"/>
        <color rgb="FFF8696B"/>
        <color rgb="FFFFEB84"/>
        <color rgb="FF63BE7B"/>
      </colorScale>
    </cfRule>
  </conditionalFormatting>
  <conditionalFormatting sqref="O314">
    <cfRule type="colorScale" priority="13">
      <colorScale>
        <cfvo type="min"/>
        <cfvo type="percentile" val="50"/>
        <cfvo type="max"/>
        <color rgb="FFF8696B"/>
        <color rgb="FFFFEB84"/>
        <color rgb="FF63BE7B"/>
      </colorScale>
    </cfRule>
  </conditionalFormatting>
  <conditionalFormatting sqref="O3:AO3 AR3:AZ3 BB3:BC3">
    <cfRule type="containsText" dxfId="40" priority="7" operator="containsText" text="CHECK NEEDED">
      <formula>NOT(ISERROR(SEARCH("CHECK NEEDED",O3)))</formula>
    </cfRule>
  </conditionalFormatting>
  <conditionalFormatting sqref="AG192">
    <cfRule type="colorScale" priority="24">
      <colorScale>
        <cfvo type="min"/>
        <cfvo type="percentile" val="50"/>
        <cfvo type="max"/>
        <color rgb="FFF8696B"/>
        <color rgb="FFFFEB84"/>
        <color rgb="FF63BE7B"/>
      </colorScale>
    </cfRule>
  </conditionalFormatting>
  <conditionalFormatting sqref="AG253">
    <cfRule type="colorScale" priority="23">
      <colorScale>
        <cfvo type="min"/>
        <cfvo type="percentile" val="50"/>
        <cfvo type="max"/>
        <color rgb="FFF8696B"/>
        <color rgb="FFFFEB84"/>
        <color rgb="FF63BE7B"/>
      </colorScale>
    </cfRule>
  </conditionalFormatting>
  <conditionalFormatting sqref="AG314">
    <cfRule type="colorScale" priority="22">
      <colorScale>
        <cfvo type="min"/>
        <cfvo type="percentile" val="50"/>
        <cfvo type="max"/>
        <color rgb="FFF8696B"/>
        <color rgb="FFFFEB84"/>
        <color rgb="FF63BE7B"/>
      </colorScale>
    </cfRule>
  </conditionalFormatting>
  <conditionalFormatting sqref="AH131:AJ131">
    <cfRule type="colorScale" priority="21">
      <colorScale>
        <cfvo type="min"/>
        <cfvo type="percentile" val="50"/>
        <cfvo type="max"/>
        <color rgb="FFF8696B"/>
        <color rgb="FFFFEB84"/>
        <color rgb="FF63BE7B"/>
      </colorScale>
    </cfRule>
  </conditionalFormatting>
  <conditionalFormatting sqref="AH192:AJ192">
    <cfRule type="colorScale" priority="20">
      <colorScale>
        <cfvo type="min"/>
        <cfvo type="percentile" val="50"/>
        <cfvo type="max"/>
        <color rgb="FFF8696B"/>
        <color rgb="FFFFEB84"/>
        <color rgb="FF63BE7B"/>
      </colorScale>
    </cfRule>
  </conditionalFormatting>
  <conditionalFormatting sqref="AH253:AJ253">
    <cfRule type="colorScale" priority="19">
      <colorScale>
        <cfvo type="min"/>
        <cfvo type="percentile" val="50"/>
        <cfvo type="max"/>
        <color rgb="FFF8696B"/>
        <color rgb="FFFFEB84"/>
        <color rgb="FF63BE7B"/>
      </colorScale>
    </cfRule>
  </conditionalFormatting>
  <conditionalFormatting sqref="AH314:AJ314">
    <cfRule type="colorScale" priority="18">
      <colorScale>
        <cfvo type="min"/>
        <cfvo type="percentile" val="50"/>
        <cfvo type="max"/>
        <color rgb="FFF8696B"/>
        <color rgb="FFFFEB84"/>
        <color rgb="FF63BE7B"/>
      </colorScale>
    </cfRule>
  </conditionalFormatting>
  <conditionalFormatting sqref="AM131">
    <cfRule type="colorScale" priority="4">
      <colorScale>
        <cfvo type="min"/>
        <cfvo type="percentile" val="50"/>
        <cfvo type="max"/>
        <color rgb="FFF8696B"/>
        <color rgb="FFFFEB84"/>
        <color rgb="FF63BE7B"/>
      </colorScale>
    </cfRule>
  </conditionalFormatting>
  <conditionalFormatting sqref="AM192:AN192">
    <cfRule type="colorScale" priority="16">
      <colorScale>
        <cfvo type="min"/>
        <cfvo type="percentile" val="50"/>
        <cfvo type="max"/>
        <color rgb="FFF8696B"/>
        <color rgb="FFFFEB84"/>
        <color rgb="FF63BE7B"/>
      </colorScale>
    </cfRule>
  </conditionalFormatting>
  <conditionalFormatting sqref="AM253:AO253">
    <cfRule type="colorScale" priority="15">
      <colorScale>
        <cfvo type="min"/>
        <cfvo type="percentile" val="50"/>
        <cfvo type="max"/>
        <color rgb="FFF8696B"/>
        <color rgb="FFFFEB84"/>
        <color rgb="FF63BE7B"/>
      </colorScale>
    </cfRule>
  </conditionalFormatting>
  <conditionalFormatting sqref="AM314:AO314">
    <cfRule type="colorScale" priority="14">
      <colorScale>
        <cfvo type="min"/>
        <cfvo type="percentile" val="50"/>
        <cfvo type="max"/>
        <color rgb="FFF8696B"/>
        <color rgb="FFFFEB84"/>
        <color rgb="FF63BE7B"/>
      </colorScale>
    </cfRule>
  </conditionalFormatting>
  <conditionalFormatting sqref="AN131">
    <cfRule type="colorScale" priority="17">
      <colorScale>
        <cfvo type="min"/>
        <cfvo type="percentile" val="50"/>
        <cfvo type="max"/>
        <color rgb="FFF8696B"/>
        <color rgb="FFFFEB84"/>
        <color rgb="FF63BE7B"/>
      </colorScale>
    </cfRule>
  </conditionalFormatting>
  <conditionalFormatting sqref="AO131">
    <cfRule type="colorScale" priority="3">
      <colorScale>
        <cfvo type="min"/>
        <cfvo type="percentile" val="50"/>
        <cfvo type="max"/>
        <color rgb="FFF8696B"/>
        <color rgb="FFFFEB84"/>
        <color rgb="FF63BE7B"/>
      </colorScale>
    </cfRule>
  </conditionalFormatting>
  <conditionalFormatting sqref="AO192">
    <cfRule type="colorScale" priority="5">
      <colorScale>
        <cfvo type="min"/>
        <cfvo type="percentile" val="50"/>
        <cfvo type="max"/>
        <color rgb="FFF8696B"/>
        <color rgb="FFFFEB84"/>
        <color rgb="FF63BE7B"/>
      </colorScale>
    </cfRule>
  </conditionalFormatting>
  <conditionalFormatting sqref="BC1">
    <cfRule type="cellIs" dxfId="39" priority="73" operator="notEqual">
      <formula>0</formula>
    </cfRule>
  </conditionalFormatting>
  <conditionalFormatting sqref="BC14">
    <cfRule type="cellIs" dxfId="38" priority="70" operator="notEqual">
      <formula>0</formula>
    </cfRule>
  </conditionalFormatting>
  <conditionalFormatting sqref="BC70:BC73">
    <cfRule type="cellIs" dxfId="37" priority="54" operator="notEqual">
      <formula>0</formula>
    </cfRule>
  </conditionalFormatting>
  <conditionalFormatting sqref="BC71:BC72">
    <cfRule type="colorScale" priority="47">
      <colorScale>
        <cfvo type="min"/>
        <cfvo type="percentile" val="50"/>
        <cfvo type="max"/>
        <color rgb="FFF8696B"/>
        <color rgb="FFFFEB84"/>
        <color rgb="FF63BE7B"/>
      </colorScale>
    </cfRule>
  </conditionalFormatting>
  <conditionalFormatting sqref="BC75">
    <cfRule type="cellIs" dxfId="36" priority="75" operator="notEqual">
      <formula>0</formula>
    </cfRule>
  </conditionalFormatting>
  <conditionalFormatting sqref="BC131:BC134">
    <cfRule type="cellIs" dxfId="35" priority="43" operator="notEqual">
      <formula>0</formula>
    </cfRule>
  </conditionalFormatting>
  <conditionalFormatting sqref="BC132:BC133">
    <cfRule type="colorScale" priority="42">
      <colorScale>
        <cfvo type="min"/>
        <cfvo type="percentile" val="50"/>
        <cfvo type="max"/>
        <color rgb="FFF8696B"/>
        <color rgb="FFFFEB84"/>
        <color rgb="FF63BE7B"/>
      </colorScale>
    </cfRule>
  </conditionalFormatting>
  <conditionalFormatting sqref="BC136">
    <cfRule type="cellIs" dxfId="34" priority="66" operator="notEqual">
      <formula>0</formula>
    </cfRule>
  </conditionalFormatting>
  <conditionalFormatting sqref="BC192:BC195">
    <cfRule type="cellIs" dxfId="33" priority="38" operator="notEqual">
      <formula>0</formula>
    </cfRule>
  </conditionalFormatting>
  <conditionalFormatting sqref="BC193:BC194">
    <cfRule type="colorScale" priority="37">
      <colorScale>
        <cfvo type="min"/>
        <cfvo type="percentile" val="50"/>
        <cfvo type="max"/>
        <color rgb="FFF8696B"/>
        <color rgb="FFFFEB84"/>
        <color rgb="FF63BE7B"/>
      </colorScale>
    </cfRule>
  </conditionalFormatting>
  <conditionalFormatting sqref="BC197:BC198">
    <cfRule type="cellIs" dxfId="32" priority="68" operator="notEqual">
      <formula>0</formula>
    </cfRule>
  </conditionalFormatting>
  <conditionalFormatting sqref="BC253:BC256">
    <cfRule type="cellIs" dxfId="31" priority="33" operator="notEqual">
      <formula>0</formula>
    </cfRule>
  </conditionalFormatting>
  <conditionalFormatting sqref="BC254:BC255">
    <cfRule type="colorScale" priority="32">
      <colorScale>
        <cfvo type="min"/>
        <cfvo type="percentile" val="50"/>
        <cfvo type="max"/>
        <color rgb="FFF8696B"/>
        <color rgb="FFFFEB84"/>
        <color rgb="FF63BE7B"/>
      </colorScale>
    </cfRule>
  </conditionalFormatting>
  <conditionalFormatting sqref="BC258:BC259">
    <cfRule type="cellIs" dxfId="30" priority="64" operator="notEqual">
      <formula>0</formula>
    </cfRule>
  </conditionalFormatting>
  <conditionalFormatting sqref="BC314:BC317">
    <cfRule type="cellIs" dxfId="29" priority="28" operator="notEqual">
      <formula>0</formula>
    </cfRule>
  </conditionalFormatting>
  <conditionalFormatting sqref="BC315:BC316">
    <cfRule type="colorScale" priority="27">
      <colorScale>
        <cfvo type="min"/>
        <cfvo type="percentile" val="50"/>
        <cfvo type="max"/>
        <color rgb="FFF8696B"/>
        <color rgb="FFFFEB84"/>
        <color rgb="FF63BE7B"/>
      </colorScale>
    </cfRule>
  </conditionalFormatting>
  <conditionalFormatting sqref="BC319:BC320">
    <cfRule type="cellIs" dxfId="28" priority="62" operator="notEqual">
      <formula>0</formula>
    </cfRule>
  </conditionalFormatting>
  <conditionalFormatting sqref="BC376:BC378">
    <cfRule type="cellIs" dxfId="27" priority="52" operator="notEqual">
      <formula>0</formula>
    </cfRule>
  </conditionalFormatting>
  <conditionalFormatting sqref="BC380:BC381">
    <cfRule type="cellIs" dxfId="26" priority="59" operator="notEqual">
      <formula>0</formula>
    </cfRule>
  </conditionalFormatting>
  <conditionalFormatting sqref="BC437:BC528">
    <cfRule type="cellIs" dxfId="25" priority="50" operator="notEqual">
      <formula>0</formula>
    </cfRule>
  </conditionalFormatting>
  <pageMargins left="0.7" right="0.7" top="0.75" bottom="0.75" header="0.3" footer="0.3"/>
  <pageSetup scale="49" fitToWidth="5"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59999389629810485"/>
    <pageSetUpPr fitToPage="1"/>
  </sheetPr>
  <dimension ref="A1:WL300"/>
  <sheetViews>
    <sheetView topLeftCell="NO1" zoomScale="85" zoomScaleNormal="85" workbookViewId="0">
      <pane ySplit="14" topLeftCell="A15" activePane="bottomLeft" state="frozen"/>
      <selection activeCell="E167" sqref="E167"/>
      <selection pane="bottomLeft" activeCell="NY16" sqref="NY16"/>
    </sheetView>
  </sheetViews>
  <sheetFormatPr defaultColWidth="9.26953125" defaultRowHeight="14.5" outlineLevelCol="2" x14ac:dyDescent="0.35"/>
  <cols>
    <col min="1" max="1" width="5.453125" style="1" customWidth="1"/>
    <col min="2" max="2" width="66.26953125" style="1" customWidth="1"/>
    <col min="3" max="3" width="10.7265625" style="1" customWidth="1"/>
    <col min="4" max="4" width="15.7265625" style="1" customWidth="1"/>
    <col min="5" max="5" width="13" style="1" customWidth="1"/>
    <col min="6" max="6" width="13.7265625" style="1" customWidth="1"/>
    <col min="7" max="7" width="14.26953125" style="1" customWidth="1"/>
    <col min="8" max="8" width="13.7265625" style="1" customWidth="1"/>
    <col min="9" max="9" width="13.7265625" style="1" customWidth="1" outlineLevel="1"/>
    <col min="10" max="10" width="14.54296875" style="1" customWidth="1" outlineLevel="1"/>
    <col min="11" max="11" width="13.7265625" style="1" customWidth="1" outlineLevel="1"/>
    <col min="12" max="12" width="14.54296875" style="1" customWidth="1" outlineLevel="1"/>
    <col min="13" max="13" width="13.7265625" style="1" customWidth="1" outlineLevel="1"/>
    <col min="14" max="14" width="18.453125" style="1" customWidth="1" outlineLevel="1"/>
    <col min="15" max="15" width="15" style="1" hidden="1" customWidth="1" outlineLevel="2"/>
    <col min="16" max="18" width="13.7265625" style="1" hidden="1" customWidth="1" outlineLevel="2"/>
    <col min="19" max="19" width="9.26953125" style="1" customWidth="1" outlineLevel="1" collapsed="1"/>
    <col min="20" max="20" width="66" style="1" customWidth="1"/>
    <col min="21" max="21" width="11" style="1" bestFit="1" customWidth="1"/>
    <col min="22" max="22" width="15.7265625" style="1" customWidth="1"/>
    <col min="23" max="23" width="15.7265625" style="1" bestFit="1" customWidth="1"/>
    <col min="24" max="24" width="14.453125" style="1" customWidth="1"/>
    <col min="25" max="25" width="14" style="1" customWidth="1"/>
    <col min="26" max="26" width="16.26953125" style="1" customWidth="1"/>
    <col min="27" max="32" width="13.7265625" style="1" customWidth="1"/>
    <col min="33" max="36" width="13.7265625" style="1" hidden="1" customWidth="1" outlineLevel="1"/>
    <col min="37" max="37" width="5.453125" style="1" customWidth="1" collapsed="1"/>
    <col min="38" max="38" width="55.453125" style="1" customWidth="1"/>
    <col min="39" max="39" width="11.26953125" style="1" customWidth="1"/>
    <col min="40" max="41" width="15.26953125" style="1" customWidth="1"/>
    <col min="42" max="42" width="14.1796875" style="1" bestFit="1" customWidth="1"/>
    <col min="43" max="43" width="15.26953125" style="1" customWidth="1"/>
    <col min="44" max="50" width="15.453125" style="1" customWidth="1"/>
    <col min="51" max="54" width="15.453125" style="1" hidden="1" customWidth="1" outlineLevel="1"/>
    <col min="55" max="55" width="5.453125" style="1" customWidth="1" collapsed="1"/>
    <col min="56" max="56" width="39.54296875" style="1" customWidth="1"/>
    <col min="57" max="57" width="4.54296875" style="1" customWidth="1"/>
    <col min="58" max="60" width="17.54296875" style="1" customWidth="1"/>
    <col min="61" max="61" width="18.7265625" style="1" customWidth="1"/>
    <col min="62" max="68" width="16.26953125" style="1" customWidth="1"/>
    <col min="69" max="72" width="16.26953125" style="1" hidden="1" customWidth="1" outlineLevel="1"/>
    <col min="73" max="73" width="5.453125" style="1" customWidth="1" collapsed="1"/>
    <col min="74" max="74" width="37.7265625" style="1" customWidth="1"/>
    <col min="75" max="75" width="4.7265625" style="1" customWidth="1"/>
    <col min="76" max="80" width="18.54296875" style="1" customWidth="1"/>
    <col min="81" max="81" width="15" customWidth="1"/>
    <col min="82" max="82" width="16.26953125" bestFit="1" customWidth="1"/>
    <col min="83" max="83" width="15" customWidth="1"/>
    <col min="84" max="84" width="16.26953125" bestFit="1" customWidth="1"/>
    <col min="85" max="85" width="15" customWidth="1"/>
    <col min="86" max="86" width="23.81640625" bestFit="1" customWidth="1"/>
    <col min="87" max="89" width="15.26953125" hidden="1" customWidth="1" outlineLevel="1"/>
    <col min="90" max="90" width="17.7265625" hidden="1" customWidth="1" outlineLevel="1"/>
    <col min="91" max="91" width="5.26953125" customWidth="1" collapsed="1"/>
    <col min="92" max="92" width="40.26953125" customWidth="1"/>
    <col min="93" max="93" width="8.26953125" customWidth="1"/>
    <col min="94" max="94" width="15.7265625" customWidth="1"/>
    <col min="95" max="95" width="14.7265625" customWidth="1"/>
    <col min="96" max="96" width="13.7265625" customWidth="1"/>
    <col min="97" max="97" width="14.7265625" customWidth="1"/>
    <col min="98" max="98" width="13.7265625" customWidth="1"/>
    <col min="99" max="99" width="15" customWidth="1"/>
    <col min="100" max="100" width="12.7265625" customWidth="1"/>
    <col min="101" max="101" width="15" customWidth="1"/>
    <col min="102" max="102" width="12.7265625" customWidth="1"/>
    <col min="103" max="103" width="15" customWidth="1"/>
    <col min="104" max="104" width="12.7265625" customWidth="1"/>
    <col min="105" max="106" width="12.7265625" hidden="1" customWidth="1" outlineLevel="1"/>
    <col min="107" max="107" width="15" hidden="1" customWidth="1" outlineLevel="1"/>
    <col min="108" max="108" width="12.7265625" hidden="1" customWidth="1" outlineLevel="1"/>
    <col min="109" max="109" width="5.26953125" customWidth="1" collapsed="1"/>
    <col min="110" max="110" width="46.54296875" customWidth="1"/>
    <col min="111" max="111" width="4.7265625" customWidth="1"/>
    <col min="112" max="122" width="12.7265625" customWidth="1"/>
    <col min="123" max="126" width="12.7265625" hidden="1" customWidth="1" outlineLevel="1"/>
    <col min="127" max="127" width="5.26953125" customWidth="1" collapsed="1"/>
    <col min="128" max="128" width="48.26953125" customWidth="1"/>
    <col min="129" max="129" width="4.54296875" customWidth="1"/>
    <col min="130" max="130" width="15.7265625" customWidth="1"/>
    <col min="131" max="131" width="12.7265625" customWidth="1"/>
    <col min="132" max="132" width="22.453125" bestFit="1" customWidth="1"/>
    <col min="133" max="133" width="14.7265625" bestFit="1" customWidth="1"/>
    <col min="134" max="134" width="14.26953125" bestFit="1" customWidth="1"/>
    <col min="135" max="135" width="15" bestFit="1" customWidth="1"/>
    <col min="136" max="136" width="14.26953125" bestFit="1" customWidth="1"/>
    <col min="137" max="137" width="15" bestFit="1" customWidth="1"/>
    <col min="138" max="138" width="14.54296875" bestFit="1" customWidth="1"/>
    <col min="139" max="139" width="15" bestFit="1" customWidth="1"/>
    <col min="140" max="140" width="14.54296875" bestFit="1" customWidth="1"/>
    <col min="141" max="142" width="14.54296875" hidden="1" customWidth="1" outlineLevel="1"/>
    <col min="143" max="144" width="12.7265625" hidden="1" customWidth="1" outlineLevel="1"/>
    <col min="145" max="145" width="5.26953125" customWidth="1" collapsed="1"/>
    <col min="146" max="147" width="12.7265625" customWidth="1"/>
    <col min="148" max="148" width="15.7265625" customWidth="1"/>
    <col min="149" max="158" width="12.7265625" customWidth="1"/>
    <col min="159" max="162" width="12.7265625" hidden="1" customWidth="1" outlineLevel="1"/>
    <col min="163" max="163" width="5.26953125" customWidth="1" collapsed="1"/>
    <col min="164" max="164" width="55.26953125" customWidth="1"/>
    <col min="165" max="165" width="4.54296875" customWidth="1"/>
    <col min="166" max="166" width="15.7265625" customWidth="1"/>
    <col min="167" max="176" width="12.7265625" customWidth="1"/>
    <col min="177" max="179" width="12.7265625" hidden="1" customWidth="1" outlineLevel="1"/>
    <col min="180" max="180" width="15.7265625" style="1" hidden="1" customWidth="1" outlineLevel="1"/>
    <col min="181" max="181" width="5.453125" style="1" customWidth="1" collapsed="1"/>
    <col min="182" max="182" width="41.26953125" style="1" customWidth="1"/>
    <col min="183" max="183" width="4.26953125" style="1" customWidth="1"/>
    <col min="184" max="184" width="16.26953125" style="1" customWidth="1"/>
    <col min="185" max="185" width="16.7265625" style="1" customWidth="1"/>
    <col min="186" max="186" width="17.7265625" style="1" customWidth="1"/>
    <col min="187" max="187" width="17.26953125" style="1" customWidth="1"/>
    <col min="188" max="194" width="14.7265625" style="1" customWidth="1"/>
    <col min="195" max="198" width="14.7265625" style="1" hidden="1" customWidth="1" outlineLevel="1"/>
    <col min="199" max="199" width="5.26953125" style="1" customWidth="1" collapsed="1"/>
    <col min="200" max="212" width="14.7265625" style="1" customWidth="1"/>
    <col min="213" max="216" width="14.7265625" style="1" hidden="1" customWidth="1" outlineLevel="1"/>
    <col min="217" max="217" width="5.26953125" style="1" customWidth="1" collapsed="1"/>
    <col min="218" max="218" width="50.54296875" style="1" customWidth="1"/>
    <col min="219" max="219" width="3.54296875" style="1" customWidth="1"/>
    <col min="220" max="230" width="14.7265625" style="1" customWidth="1"/>
    <col min="231" max="234" width="14.7265625" style="1" hidden="1" customWidth="1" outlineLevel="1"/>
    <col min="235" max="235" width="5.26953125" style="1" customWidth="1" collapsed="1"/>
    <col min="236" max="236" width="36.1796875" style="1" customWidth="1"/>
    <col min="237" max="237" width="4.7265625" style="1" customWidth="1"/>
    <col min="238" max="248" width="14.7265625" style="1" customWidth="1"/>
    <col min="249" max="252" width="14.7265625" style="1" hidden="1" customWidth="1" outlineLevel="1"/>
    <col min="253" max="253" width="5.26953125" style="1" customWidth="1" collapsed="1"/>
    <col min="254" max="254" width="46.453125" style="1" customWidth="1"/>
    <col min="255" max="255" width="6.54296875" style="1" customWidth="1"/>
    <col min="256" max="266" width="14.7265625" style="1" customWidth="1"/>
    <col min="267" max="270" width="14.7265625" style="1" hidden="1" customWidth="1" outlineLevel="1"/>
    <col min="271" max="271" width="5.453125" style="1" customWidth="1" collapsed="1"/>
    <col min="272" max="272" width="50.26953125" style="1" customWidth="1"/>
    <col min="273" max="273" width="6" style="1" customWidth="1"/>
    <col min="274" max="284" width="17.54296875" style="1" customWidth="1"/>
    <col min="285" max="288" width="17.54296875" style="1" hidden="1" customWidth="1" outlineLevel="1"/>
    <col min="289" max="289" width="9.26953125" style="1" customWidth="1" collapsed="1"/>
    <col min="290" max="290" width="46.26953125" style="1" customWidth="1"/>
    <col min="291" max="291" width="6" style="1" customWidth="1"/>
    <col min="292" max="302" width="14.54296875" style="1" customWidth="1"/>
    <col min="303" max="306" width="14.54296875" style="1" hidden="1" customWidth="1" outlineLevel="1"/>
    <col min="307" max="307" width="5" style="1" customWidth="1" collapsed="1"/>
    <col min="308" max="308" width="33.54296875" style="1" customWidth="1"/>
    <col min="309" max="309" width="9.7265625" style="1" customWidth="1"/>
    <col min="310" max="310" width="17.7265625" style="1" customWidth="1"/>
    <col min="311" max="311" width="18.7265625" style="1" customWidth="1"/>
    <col min="312" max="312" width="15.26953125" style="1" customWidth="1"/>
    <col min="313" max="313" width="14" style="1" customWidth="1"/>
    <col min="314" max="320" width="18.26953125" style="1" customWidth="1"/>
    <col min="321" max="324" width="18.26953125" style="1" hidden="1" customWidth="1" outlineLevel="1"/>
    <col min="325" max="325" width="5.54296875" style="1" customWidth="1" collapsed="1"/>
    <col min="326" max="326" width="41.54296875" style="1" customWidth="1"/>
    <col min="327" max="327" width="5" style="1" customWidth="1"/>
    <col min="328" max="331" width="19.26953125" style="1" customWidth="1"/>
    <col min="332" max="332" width="15.26953125" style="1" customWidth="1"/>
    <col min="333" max="333" width="15" style="1" customWidth="1"/>
    <col min="334" max="334" width="15.26953125" style="1" customWidth="1"/>
    <col min="335" max="335" width="15" style="1" customWidth="1"/>
    <col min="336" max="336" width="15.26953125" style="1" customWidth="1"/>
    <col min="337" max="337" width="15" style="1" customWidth="1"/>
    <col min="338" max="338" width="15.26953125" style="1" customWidth="1"/>
    <col min="339" max="340" width="15.26953125" style="1" hidden="1" customWidth="1" outlineLevel="1"/>
    <col min="341" max="341" width="15" style="1" hidden="1" customWidth="1" outlineLevel="1"/>
    <col min="342" max="342" width="22.453125" style="1" hidden="1" customWidth="1" outlineLevel="1"/>
    <col min="343" max="343" width="5.54296875" style="1" customWidth="1" collapsed="1"/>
    <col min="344" max="344" width="58.7265625" style="1" customWidth="1"/>
    <col min="345" max="345" width="6.54296875" style="1" customWidth="1"/>
    <col min="346" max="349" width="16.7265625" style="1" customWidth="1"/>
    <col min="350" max="350" width="14" style="1" customWidth="1"/>
    <col min="351" max="351" width="13.453125" style="1" customWidth="1"/>
    <col min="352" max="352" width="14.453125" style="1" customWidth="1"/>
    <col min="353" max="353" width="15" style="1" customWidth="1"/>
    <col min="354" max="354" width="14.453125" style="1" customWidth="1"/>
    <col min="355" max="355" width="15" style="1" customWidth="1"/>
    <col min="356" max="356" width="14.453125" style="1" customWidth="1"/>
    <col min="357" max="358" width="14.453125" style="1" hidden="1" customWidth="1" outlineLevel="1"/>
    <col min="359" max="359" width="15" style="1" hidden="1" customWidth="1" outlineLevel="1"/>
    <col min="360" max="360" width="16" style="1" hidden="1" customWidth="1" outlineLevel="1"/>
    <col min="361" max="361" width="5.453125" customWidth="1" collapsed="1"/>
    <col min="362" max="362" width="40.7265625" customWidth="1"/>
    <col min="363" max="363" width="7" customWidth="1"/>
    <col min="364" max="368" width="16" customWidth="1"/>
    <col min="369" max="369" width="15.26953125" customWidth="1"/>
    <col min="370" max="370" width="19.26953125" customWidth="1"/>
    <col min="371" max="371" width="17.26953125" customWidth="1"/>
    <col min="372" max="372" width="18.26953125" customWidth="1"/>
    <col min="373" max="373" width="18.453125" customWidth="1"/>
    <col min="374" max="374" width="14.7265625" customWidth="1"/>
    <col min="375" max="376" width="14.7265625" hidden="1" customWidth="1" outlineLevel="1"/>
    <col min="377" max="377" width="19.7265625" hidden="1" customWidth="1" outlineLevel="1"/>
    <col min="378" max="378" width="16" hidden="1" customWidth="1" outlineLevel="1"/>
    <col min="379" max="379" width="5.26953125" style="1" customWidth="1" collapsed="1"/>
    <col min="380" max="380" width="41.7265625" style="1" customWidth="1"/>
    <col min="381" max="381" width="4.54296875" style="1" customWidth="1"/>
    <col min="382" max="382" width="15.7265625" style="1" bestFit="1" customWidth="1"/>
    <col min="383" max="383" width="13.453125" style="1" customWidth="1"/>
    <col min="384" max="384" width="14.453125" style="1" bestFit="1" customWidth="1"/>
    <col min="385" max="385" width="13.453125" style="1" customWidth="1"/>
    <col min="386" max="386" width="14.453125" style="1" bestFit="1" customWidth="1"/>
    <col min="387" max="387" width="13.453125" style="1" customWidth="1"/>
    <col min="388" max="388" width="15.26953125" style="1" bestFit="1" customWidth="1"/>
    <col min="389" max="389" width="15" style="1" customWidth="1"/>
    <col min="390" max="390" width="15.26953125" style="1" bestFit="1" customWidth="1"/>
    <col min="391" max="391" width="13.453125" style="1" customWidth="1"/>
    <col min="392" max="392" width="16.7265625" style="1" customWidth="1"/>
    <col min="393" max="393" width="13.453125" style="1" hidden="1" customWidth="1" outlineLevel="1"/>
    <col min="394" max="394" width="14.453125" style="1" hidden="1" customWidth="1" outlineLevel="1"/>
    <col min="395" max="395" width="13.453125" style="1" hidden="1" customWidth="1" outlineLevel="1"/>
    <col min="396" max="396" width="14.453125" style="1" hidden="1" customWidth="1" outlineLevel="1"/>
    <col min="397" max="397" width="5.26953125" style="1" customWidth="1" collapsed="1"/>
    <col min="398" max="398" width="42.7265625" style="1" customWidth="1"/>
    <col min="399" max="399" width="4.7265625" style="1" customWidth="1"/>
    <col min="400" max="400" width="16.26953125" style="1" customWidth="1"/>
    <col min="401" max="401" width="14.7265625" style="1" customWidth="1"/>
    <col min="402" max="402" width="16.26953125" style="1" customWidth="1"/>
    <col min="403" max="403" width="14.7265625" style="1" customWidth="1"/>
    <col min="404" max="404" width="16.26953125" style="1" customWidth="1"/>
    <col min="405" max="405" width="15" style="1" customWidth="1"/>
    <col min="406" max="406" width="16.26953125" style="1" customWidth="1"/>
    <col min="407" max="407" width="15" style="1" customWidth="1"/>
    <col min="408" max="408" width="16.26953125" style="1" customWidth="1"/>
    <col min="409" max="409" width="15" style="1" customWidth="1"/>
    <col min="410" max="410" width="16.26953125" style="1" customWidth="1"/>
    <col min="411" max="412" width="16.26953125" style="1" hidden="1" customWidth="1" outlineLevel="1"/>
    <col min="413" max="413" width="15.26953125" style="1" hidden="1" customWidth="1" outlineLevel="1"/>
    <col min="414" max="414" width="16.26953125" style="1" hidden="1" customWidth="1" outlineLevel="1"/>
    <col min="415" max="415" width="5.26953125" style="1" bestFit="1" customWidth="1" collapsed="1"/>
    <col min="416" max="416" width="57" style="1" customWidth="1"/>
    <col min="417" max="417" width="11" style="1" customWidth="1"/>
    <col min="418" max="418" width="14.81640625" style="1" customWidth="1"/>
    <col min="419" max="419" width="15.7265625" style="1" bestFit="1" customWidth="1"/>
    <col min="420" max="420" width="14.26953125" style="1" bestFit="1" customWidth="1"/>
    <col min="421" max="421" width="14.7265625" style="1" bestFit="1" customWidth="1"/>
    <col min="422" max="422" width="15.26953125" style="1" bestFit="1" customWidth="1"/>
    <col min="423" max="423" width="15" style="1" bestFit="1" customWidth="1"/>
    <col min="424" max="424" width="15.26953125" style="1" bestFit="1" customWidth="1"/>
    <col min="425" max="428" width="13.453125" style="552" customWidth="1"/>
    <col min="429" max="430" width="13.453125" style="552" hidden="1" customWidth="1" outlineLevel="1"/>
    <col min="431" max="432" width="13.453125" style="1" hidden="1" customWidth="1" outlineLevel="1"/>
    <col min="433" max="433" width="13.453125" style="1" customWidth="1" collapsed="1"/>
    <col min="434" max="434" width="67.54296875" style="1" bestFit="1" customWidth="1"/>
    <col min="435" max="435" width="4.7265625" style="1" bestFit="1" customWidth="1"/>
    <col min="436" max="436" width="19.26953125" style="1" bestFit="1" customWidth="1"/>
    <col min="437" max="437" width="18.7265625" style="1" bestFit="1" customWidth="1"/>
    <col min="438" max="446" width="13.453125" style="1" customWidth="1"/>
    <col min="447" max="450" width="13.453125" style="1" hidden="1" customWidth="1" outlineLevel="1"/>
    <col min="451" max="451" width="5.7265625" customWidth="1" collapsed="1"/>
    <col min="452" max="452" width="5.54296875" customWidth="1" collapsed="1"/>
    <col min="453" max="453" width="54.453125" customWidth="1"/>
    <col min="454" max="454" width="5.26953125" customWidth="1"/>
    <col min="455" max="455" width="15.26953125" customWidth="1"/>
    <col min="456" max="456" width="19.453125" customWidth="1"/>
    <col min="457" max="457" width="14.26953125" customWidth="1"/>
    <col min="458" max="464" width="17.26953125" customWidth="1"/>
    <col min="465" max="465" width="19.26953125" customWidth="1"/>
    <col min="466" max="466" width="15.26953125" hidden="1" customWidth="1" outlineLevel="1"/>
    <col min="467" max="469" width="19.54296875" hidden="1" customWidth="1" outlineLevel="1"/>
    <col min="470" max="470" width="5.26953125" style="1" bestFit="1" customWidth="1" collapsed="1"/>
    <col min="471" max="471" width="70.26953125" style="1" bestFit="1" customWidth="1"/>
    <col min="472" max="472" width="5.7265625" style="1" customWidth="1"/>
    <col min="473" max="474" width="13.453125" style="1" customWidth="1"/>
    <col min="475" max="475" width="16" style="1" bestFit="1" customWidth="1"/>
    <col min="476" max="476" width="15" style="1" bestFit="1" customWidth="1"/>
    <col min="477" max="483" width="16" style="1" bestFit="1" customWidth="1"/>
    <col min="484" max="486" width="16" style="1" hidden="1" customWidth="1" outlineLevel="1"/>
    <col min="487" max="487" width="15.453125" style="1" hidden="1" customWidth="1" outlineLevel="1"/>
    <col min="488" max="488" width="9.26953125" bestFit="1" customWidth="1" collapsed="1"/>
    <col min="489" max="489" width="66.26953125" bestFit="1" customWidth="1"/>
    <col min="490" max="490" width="5.26953125" bestFit="1" customWidth="1"/>
    <col min="491" max="491" width="15.7265625" bestFit="1" customWidth="1"/>
    <col min="492" max="492" width="14.54296875" bestFit="1" customWidth="1"/>
    <col min="493" max="493" width="18.26953125" bestFit="1" customWidth="1"/>
    <col min="494" max="494" width="16.26953125" bestFit="1" customWidth="1"/>
    <col min="495" max="495" width="18.26953125" bestFit="1" customWidth="1"/>
    <col min="496" max="496" width="16.26953125" bestFit="1" customWidth="1"/>
    <col min="497" max="497" width="18.26953125" bestFit="1" customWidth="1"/>
    <col min="498" max="498" width="16.26953125" bestFit="1" customWidth="1"/>
    <col min="499" max="499" width="18.26953125" bestFit="1" customWidth="1"/>
    <col min="500" max="500" width="16.26953125" bestFit="1" customWidth="1"/>
    <col min="501" max="501" width="18.26953125" bestFit="1" customWidth="1"/>
    <col min="502" max="503" width="18.26953125" hidden="1" customWidth="1" outlineLevel="1"/>
    <col min="504" max="504" width="16.26953125" hidden="1" customWidth="1" outlineLevel="1"/>
    <col min="505" max="505" width="21.7265625" hidden="1" customWidth="1" outlineLevel="1"/>
    <col min="506" max="506" width="9.26953125" collapsed="1"/>
    <col min="507" max="507" width="58" bestFit="1" customWidth="1"/>
    <col min="508" max="508" width="4.7265625" bestFit="1" customWidth="1"/>
    <col min="510" max="510" width="15.7265625" bestFit="1" customWidth="1"/>
    <col min="511" max="511" width="16.453125" bestFit="1" customWidth="1"/>
    <col min="512" max="512" width="17.54296875" bestFit="1" customWidth="1"/>
    <col min="513" max="517" width="17.26953125" bestFit="1" customWidth="1"/>
    <col min="518" max="518" width="18.453125" bestFit="1" customWidth="1"/>
    <col min="519" max="519" width="23.1796875" customWidth="1"/>
    <col min="520" max="521" width="18" hidden="1" customWidth="1" outlineLevel="1"/>
    <col min="522" max="522" width="17.453125" hidden="1" customWidth="1" outlineLevel="1"/>
    <col min="523" max="523" width="22.7265625" hidden="1" customWidth="1" outlineLevel="1"/>
    <col min="524" max="524" width="3.7265625" customWidth="1" collapsed="1"/>
    <col min="525" max="525" width="9.26953125" customWidth="1"/>
    <col min="526" max="526" width="27.7265625" bestFit="1" customWidth="1"/>
    <col min="527" max="527" width="5.26953125" bestFit="1" customWidth="1"/>
    <col min="528" max="528" width="15.7265625" customWidth="1"/>
    <col min="529" max="529" width="17.26953125" customWidth="1"/>
    <col min="530" max="530" width="16.453125" customWidth="1"/>
    <col min="531" max="531" width="14.453125" style="1" customWidth="1"/>
    <col min="532" max="532" width="16.453125" style="1" customWidth="1"/>
    <col min="533" max="533" width="14.453125" style="1" customWidth="1"/>
    <col min="534" max="534" width="16.453125" style="1" customWidth="1"/>
    <col min="535" max="535" width="14.26953125" style="1" customWidth="1"/>
    <col min="536" max="536" width="16.453125" style="1" customWidth="1"/>
    <col min="537" max="537" width="15" style="1" customWidth="1"/>
    <col min="538" max="538" width="16.453125" style="1" customWidth="1"/>
    <col min="539" max="540" width="16.453125" style="1" hidden="1" customWidth="1" outlineLevel="1"/>
    <col min="541" max="541" width="15" style="1" hidden="1" customWidth="1" outlineLevel="1"/>
    <col min="542" max="542" width="16.453125" style="1" hidden="1" customWidth="1" outlineLevel="1"/>
    <col min="543" max="543" width="10" style="1" customWidth="1" collapsed="1"/>
    <col min="544" max="544" width="9.26953125" style="1"/>
    <col min="545" max="545" width="47.453125" style="1" bestFit="1" customWidth="1"/>
    <col min="546" max="546" width="9.26953125" style="1"/>
    <col min="547" max="547" width="16.26953125" style="1" customWidth="1"/>
    <col min="548" max="548" width="15" style="1" customWidth="1"/>
    <col min="549" max="550" width="14.26953125" style="1" customWidth="1"/>
    <col min="551" max="561" width="9.26953125" style="1"/>
    <col min="562" max="562" width="4.54296875" style="1" customWidth="1"/>
    <col min="563" max="563" width="7.54296875" style="1" customWidth="1"/>
    <col min="564" max="564" width="53.54296875" style="1" customWidth="1"/>
    <col min="565" max="565" width="5.453125" style="1" customWidth="1"/>
    <col min="566" max="566" width="15.7265625" style="1" bestFit="1" customWidth="1"/>
    <col min="567" max="567" width="14.7265625" style="1" bestFit="1" customWidth="1"/>
    <col min="568" max="568" width="13.7265625" style="1" bestFit="1" customWidth="1"/>
    <col min="569" max="569" width="14.7265625" style="1" bestFit="1" customWidth="1"/>
    <col min="570" max="570" width="14.54296875" style="1" bestFit="1" customWidth="1"/>
    <col min="571" max="571" width="15" style="1" bestFit="1" customWidth="1"/>
    <col min="572" max="572" width="13.7265625" style="1" bestFit="1" customWidth="1"/>
    <col min="573" max="573" width="15" style="1" bestFit="1" customWidth="1"/>
    <col min="574" max="574" width="13.7265625" style="1" bestFit="1" customWidth="1"/>
    <col min="575" max="575" width="15" style="1" bestFit="1" customWidth="1"/>
    <col min="576" max="576" width="13.7265625" style="1" customWidth="1"/>
    <col min="577" max="580" width="9.26953125" style="1" hidden="1" customWidth="1" outlineLevel="1"/>
    <col min="581" max="581" width="9.26953125" style="1" collapsed="1"/>
    <col min="582" max="582" width="6.26953125" style="1" hidden="1" customWidth="1" outlineLevel="1"/>
    <col min="583" max="583" width="49.54296875" style="1" hidden="1" customWidth="1" outlineLevel="1"/>
    <col min="584" max="584" width="5.54296875" style="1" hidden="1" customWidth="1" outlineLevel="1"/>
    <col min="585" max="585" width="16.7265625" style="1" hidden="1" customWidth="1" outlineLevel="1"/>
    <col min="586" max="586" width="15.7265625" style="1" hidden="1" customWidth="1" outlineLevel="1"/>
    <col min="587" max="587" width="14.54296875" style="1" hidden="1" customWidth="1" outlineLevel="1"/>
    <col min="588" max="588" width="15.7265625" style="1" hidden="1" customWidth="1" outlineLevel="1"/>
    <col min="589" max="589" width="14.54296875" style="1" hidden="1" customWidth="1" outlineLevel="1"/>
    <col min="590" max="590" width="15.81640625" style="1" hidden="1" customWidth="1" outlineLevel="1"/>
    <col min="591" max="591" width="13.7265625" style="1" hidden="1" customWidth="1" outlineLevel="1"/>
    <col min="592" max="592" width="15.81640625" style="1" hidden="1" customWidth="1" outlineLevel="1"/>
    <col min="593" max="593" width="13.7265625" style="1" hidden="1" customWidth="1" outlineLevel="1"/>
    <col min="594" max="595" width="15.81640625" style="1" hidden="1" customWidth="1" outlineLevel="1"/>
    <col min="596" max="596" width="3.453125" style="1" customWidth="1" collapsed="1"/>
    <col min="597" max="597" width="9.26953125" style="1"/>
    <col min="598" max="598" width="47.453125" style="1" customWidth="1"/>
    <col min="599" max="599" width="9.26953125" style="1"/>
    <col min="600" max="600" width="16.7265625" style="1" bestFit="1" customWidth="1"/>
    <col min="601" max="601" width="15.7265625" style="1" bestFit="1" customWidth="1"/>
    <col min="602" max="602" width="14.54296875" style="1" bestFit="1" customWidth="1"/>
    <col min="603" max="603" width="15.7265625" style="1" bestFit="1" customWidth="1"/>
    <col min="604" max="604" width="14.54296875" style="1" bestFit="1" customWidth="1"/>
    <col min="605" max="605" width="15.81640625" style="1" bestFit="1" customWidth="1"/>
    <col min="606" max="606" width="9.26953125" style="1"/>
    <col min="607" max="607" width="15.81640625" style="1" bestFit="1" customWidth="1"/>
    <col min="608" max="608" width="13.7265625" style="1" bestFit="1" customWidth="1"/>
    <col min="609" max="609" width="9.26953125" style="1"/>
    <col min="610" max="610" width="16.26953125" style="1" customWidth="1"/>
    <col min="611" max="16384" width="9.26953125" style="1"/>
  </cols>
  <sheetData>
    <row r="1" spans="1:610" customFormat="1" ht="15" thickBot="1" x14ac:dyDescent="0.4">
      <c r="V1" s="264">
        <f>ROUND(V71+V80,0)</f>
        <v>0</v>
      </c>
      <c r="W1" s="264">
        <f>ROUND(W71+W80,0)</f>
        <v>0</v>
      </c>
      <c r="X1" s="264">
        <f>X71+X80</f>
        <v>0</v>
      </c>
      <c r="Y1" s="264">
        <f>Y71+Y80</f>
        <v>0</v>
      </c>
      <c r="Z1" s="264">
        <f>Z71+Z80</f>
        <v>0</v>
      </c>
      <c r="AQ1" s="264">
        <f>ROUND(AQ57+AQ66,0)</f>
        <v>0</v>
      </c>
      <c r="AR1" s="264">
        <f>AR57+AR66</f>
        <v>0</v>
      </c>
      <c r="PI1" s="674"/>
      <c r="PJ1" s="674"/>
      <c r="PK1" s="674"/>
      <c r="PL1" s="674"/>
      <c r="PM1" s="674"/>
      <c r="PN1" s="674"/>
    </row>
    <row r="2" spans="1:610" customFormat="1" x14ac:dyDescent="0.35">
      <c r="A2" s="1"/>
      <c r="B2" s="1"/>
      <c r="C2" s="1"/>
      <c r="D2" s="1"/>
      <c r="E2" s="1"/>
      <c r="F2" s="1"/>
      <c r="G2" s="1"/>
      <c r="H2" s="1"/>
      <c r="I2" s="403"/>
      <c r="J2" s="403"/>
      <c r="K2" s="403"/>
      <c r="L2" s="403"/>
      <c r="M2" s="1325"/>
      <c r="N2" s="1326" t="s">
        <v>1016</v>
      </c>
      <c r="O2" s="403"/>
      <c r="P2" s="403"/>
      <c r="S2" s="1"/>
      <c r="T2" s="1"/>
      <c r="U2" s="1"/>
      <c r="Y2" s="1"/>
      <c r="Z2" s="1"/>
      <c r="AE2" s="143"/>
      <c r="AF2" s="144" t="s">
        <v>1016</v>
      </c>
      <c r="AW2" s="143"/>
      <c r="AX2" s="144" t="s">
        <v>1016</v>
      </c>
      <c r="BO2" s="143"/>
      <c r="BP2" s="144" t="s">
        <v>1016</v>
      </c>
      <c r="CG2" s="143"/>
      <c r="CH2" s="144" t="s">
        <v>1016</v>
      </c>
      <c r="CY2" s="143"/>
      <c r="CZ2" s="144" t="s">
        <v>1016</v>
      </c>
      <c r="DQ2" s="143"/>
      <c r="DR2" s="144" t="s">
        <v>1016</v>
      </c>
      <c r="EI2" s="143"/>
      <c r="EJ2" s="144" t="s">
        <v>1016</v>
      </c>
      <c r="FA2" s="143"/>
      <c r="FB2" s="144" t="s">
        <v>1016</v>
      </c>
      <c r="FS2" s="143"/>
      <c r="FT2" s="144" t="s">
        <v>1016</v>
      </c>
      <c r="GK2" s="143"/>
      <c r="GL2" s="144" t="s">
        <v>1016</v>
      </c>
      <c r="HC2" s="143"/>
      <c r="HD2" s="144" t="s">
        <v>1016</v>
      </c>
      <c r="HU2" s="143"/>
      <c r="HV2" s="144" t="s">
        <v>1016</v>
      </c>
      <c r="IE2" s="1"/>
      <c r="IF2" s="1"/>
      <c r="IM2" s="143"/>
      <c r="IN2" s="144" t="s">
        <v>1016</v>
      </c>
      <c r="JE2" s="143"/>
      <c r="JF2" s="144" t="s">
        <v>1016</v>
      </c>
      <c r="JW2" s="143"/>
      <c r="JX2" s="144" t="s">
        <v>1016</v>
      </c>
      <c r="KO2" s="143"/>
      <c r="KP2" s="144" t="s">
        <v>1016</v>
      </c>
      <c r="LG2" s="143"/>
      <c r="LH2" s="144" t="s">
        <v>1016</v>
      </c>
      <c r="LY2" s="143"/>
      <c r="LZ2" s="144" t="s">
        <v>1016</v>
      </c>
      <c r="MQ2" s="143"/>
      <c r="MR2" s="144" t="s">
        <v>1016</v>
      </c>
      <c r="NI2" s="143"/>
      <c r="NJ2" s="144" t="s">
        <v>1016</v>
      </c>
      <c r="OA2" s="143"/>
      <c r="OB2" s="144" t="s">
        <v>1016</v>
      </c>
      <c r="OS2" s="143"/>
      <c r="OT2" s="144" t="s">
        <v>1016</v>
      </c>
      <c r="PI2" s="593"/>
      <c r="PJ2" s="593"/>
      <c r="PK2" s="143"/>
      <c r="PL2" s="144" t="s">
        <v>1016</v>
      </c>
      <c r="PM2" s="593"/>
      <c r="PN2" s="593"/>
      <c r="QC2" s="143"/>
      <c r="QD2" s="144" t="s">
        <v>1016</v>
      </c>
      <c r="QV2" s="143"/>
      <c r="QW2" s="144" t="s">
        <v>1016</v>
      </c>
      <c r="QZ2" s="403"/>
      <c r="RA2" s="403"/>
      <c r="RN2" s="143"/>
      <c r="RO2" s="144" t="s">
        <v>1016</v>
      </c>
      <c r="SF2" s="143"/>
      <c r="SG2" s="144" t="s">
        <v>1016</v>
      </c>
      <c r="SX2" s="143"/>
      <c r="SY2" s="144" t="s">
        <v>1016</v>
      </c>
      <c r="TD2" s="673"/>
      <c r="TQ2" s="143"/>
      <c r="TR2" s="144" t="s">
        <v>1016</v>
      </c>
      <c r="UJ2" s="143"/>
      <c r="UK2" s="144" t="s">
        <v>1016</v>
      </c>
      <c r="VC2" s="143"/>
      <c r="VD2" s="144" t="s">
        <v>1016</v>
      </c>
      <c r="VV2" s="143"/>
      <c r="VW2" s="144" t="s">
        <v>1016</v>
      </c>
      <c r="WK2" s="143"/>
      <c r="WL2" s="144" t="s">
        <v>1016</v>
      </c>
    </row>
    <row r="3" spans="1:610" customFormat="1" x14ac:dyDescent="0.35">
      <c r="A3" s="1"/>
      <c r="B3" s="1"/>
      <c r="C3" s="1"/>
      <c r="D3" s="1"/>
      <c r="E3" s="1"/>
      <c r="F3" s="1"/>
      <c r="H3" s="1"/>
      <c r="I3" s="404"/>
      <c r="J3" s="404"/>
      <c r="K3" s="404"/>
      <c r="L3" s="404"/>
      <c r="M3" s="1327"/>
      <c r="N3" s="1328" t="str">
        <f>CONCATENATE("Exh. SEF-10 page "&amp;VLOOKUP(A6,'Adj List'!$A:$E,5,FALSE)&amp;" of "&amp;'Adj List'!$E$1)</f>
        <v>Exh. SEF-10 page 1 of 36</v>
      </c>
      <c r="O3" s="404"/>
      <c r="P3" s="404"/>
      <c r="S3" s="1"/>
      <c r="T3" s="1"/>
      <c r="U3" s="1"/>
      <c r="Y3" s="1"/>
      <c r="Z3" s="1"/>
      <c r="AE3" s="348"/>
      <c r="AF3" s="349" t="str">
        <f>CONCATENATE("Exh. SEF-10 page "&amp;VLOOKUP(S6,'Adj List'!$A:$E,5,FALSE)&amp;" of "&amp;'Adj List'!$E$1)</f>
        <v>Exh. SEF-10 page 2 of 36</v>
      </c>
      <c r="AW3" s="348"/>
      <c r="AX3" s="349" t="str">
        <f>CONCATENATE("Exh. SEF-10 page "&amp;VLOOKUP(AK6,'Adj List'!$A:$E,5,FALSE)&amp;" of "&amp;'Adj List'!$E$1)</f>
        <v>Exh. SEF-10 page 3 of 36</v>
      </c>
      <c r="BO3" s="348"/>
      <c r="BP3" s="349" t="str">
        <f>CONCATENATE("Exh. SEF-10 page "&amp;VLOOKUP(BC6,'Adj List'!$A:$E,5,FALSE)&amp;" of "&amp;'Adj List'!$E$1)</f>
        <v>Exh. SEF-10 page 4 of 36</v>
      </c>
      <c r="CG3" s="348"/>
      <c r="CH3" s="349" t="str">
        <f>CONCATENATE("Exh. SEF-10 page "&amp;VLOOKUP(BU6,'Adj List'!$A:$E,5,FALSE)&amp;" of "&amp;'Adj List'!$E$1)</f>
        <v>Exh. SEF-10 page 5 of 36</v>
      </c>
      <c r="CY3" s="348"/>
      <c r="CZ3" s="349" t="str">
        <f>CONCATENATE("Exh. SEF-10 page "&amp;VLOOKUP(CM6,'Adj List'!$A:$E,5,FALSE)&amp;" of "&amp;'Adj List'!$E$1)</f>
        <v>Exh. SEF-10 page 6 of 36</v>
      </c>
      <c r="DQ3" s="348"/>
      <c r="DR3" s="349" t="str">
        <f>CONCATENATE("Exh. SEF-10 page "&amp;VLOOKUP(DE6,'Adj List'!$A:$E,5,FALSE)&amp;" of "&amp;'Adj List'!$E$1)</f>
        <v>Exh. SEF-10 page 7 of 36</v>
      </c>
      <c r="EI3" s="348"/>
      <c r="EJ3" s="349" t="str">
        <f>CONCATENATE("Exh. SEF-10 page "&amp;VLOOKUP(DW6,'Adj List'!$A:$E,5,FALSE)&amp;" of "&amp;'Adj List'!$E$1)</f>
        <v>Exh. SEF-10 page 8 of 36</v>
      </c>
      <c r="FA3" s="348"/>
      <c r="FB3" s="349" t="str">
        <f>CONCATENATE("Exh. SEF-10 page "&amp;VLOOKUP(EO6,'Adj List'!$A:$E,5,FALSE)&amp;" of "&amp;'Adj List'!$E$1)</f>
        <v>Exh. SEF-10 page 9 of 36</v>
      </c>
      <c r="FS3" s="348"/>
      <c r="FT3" s="349" t="str">
        <f>CONCATENATE("Exh. SEF-10 page "&amp;VLOOKUP(FG6,'Adj List'!$A:$E,5,FALSE)&amp;" of "&amp;'Adj List'!$E$1)</f>
        <v>Exh. SEF-10 page 10 of 36</v>
      </c>
      <c r="GK3" s="348"/>
      <c r="GL3" s="349" t="str">
        <f>CONCATENATE("Exh. SEF-10 page "&amp;VLOOKUP(FY6,'Adj List'!$A:$E,5,FALSE)&amp;" of "&amp;'Adj List'!$E$1)</f>
        <v>Exh. SEF-10 page 11 of 36</v>
      </c>
      <c r="HC3" s="348"/>
      <c r="HD3" s="349" t="str">
        <f>CONCATENATE("Exh. SEF-10 page "&amp;VLOOKUP(GQ6,'Adj List'!$A:$E,5,FALSE)&amp;" of "&amp;'Adj List'!$E$1)</f>
        <v>Exh. SEF-10 page 12 of 36</v>
      </c>
      <c r="HU3" s="348"/>
      <c r="HV3" s="349" t="str">
        <f>CONCATENATE("Exh. SEF-10 page "&amp;VLOOKUP(HI6,'Adj List'!$A:$E,5,FALSE)&amp;" of "&amp;'Adj List'!$E$1)</f>
        <v>Exh. SEF-10 page 13 of 36</v>
      </c>
      <c r="IE3" s="1"/>
      <c r="IF3" s="1"/>
      <c r="IM3" s="348"/>
      <c r="IN3" s="349" t="str">
        <f>CONCATENATE("Exh. SEF-10 page "&amp;VLOOKUP(IA6,'Adj List'!$A:$E,5,FALSE)&amp;" of "&amp;'Adj List'!$E$1)</f>
        <v>Exh. SEF-10 page 14 of 36</v>
      </c>
      <c r="JE3" s="348"/>
      <c r="JF3" s="349" t="str">
        <f>CONCATENATE("Exh. SEF-10 page "&amp;VLOOKUP(IS6,'Adj List'!$A:$E,5,FALSE)&amp;" of "&amp;'Adj List'!$E$1)</f>
        <v>Exh. SEF-10 page 15 of 36</v>
      </c>
      <c r="JW3" s="348"/>
      <c r="JX3" s="349" t="str">
        <f>CONCATENATE("Exh. SEF-10 page "&amp;VLOOKUP(JK6,'Adj List'!$A:$E,5,FALSE)&amp;" of "&amp;'Adj List'!$E$1)</f>
        <v>Exh. SEF-10 page 16 of 36</v>
      </c>
      <c r="KO3" s="348"/>
      <c r="KP3" s="349" t="str">
        <f>CONCATENATE("Exh. SEF-10 page "&amp;VLOOKUP(KC6,'Adj List'!$A:$E,5,FALSE)&amp;" of "&amp;'Adj List'!$E$1)</f>
        <v>Exh. SEF-10 page 17 of 36</v>
      </c>
      <c r="LG3" s="348"/>
      <c r="LH3" s="349" t="str">
        <f>CONCATENATE("Exh. SEF-10 page "&amp;VLOOKUP(KU6,'Adj List'!$A:$E,5,FALSE)&amp;" of "&amp;'Adj List'!$E$1)</f>
        <v>Exh. SEF-10 page 18 of 36</v>
      </c>
      <c r="LY3" s="348"/>
      <c r="LZ3" s="349" t="str">
        <f>CONCATENATE("Exh. SEF-10 page "&amp;VLOOKUP(LM6,'Adj List'!$A:$E,5,FALSE)&amp;" of "&amp;'Adj List'!$E$1)</f>
        <v>Exh. SEF-10 page 19 of 36</v>
      </c>
      <c r="MQ3" s="348"/>
      <c r="MR3" s="349" t="str">
        <f>CONCATENATE("Exh. SEF-10 page "&amp;VLOOKUP(ME6,'Adj List'!$A:$E,5,FALSE)&amp;" of "&amp;'Adj List'!$E$1)</f>
        <v>Exh. SEF-10 page 20 of 36</v>
      </c>
      <c r="NI3" s="348"/>
      <c r="NJ3" s="349" t="str">
        <f>CONCATENATE("Exh. SEF-10 page "&amp;VLOOKUP(MW6,'Adj List'!$A:$E,5,FALSE)&amp;" of "&amp;'Adj List'!$E$1)</f>
        <v>Exh. SEF-10 page 21 of 36</v>
      </c>
      <c r="OA3" s="348"/>
      <c r="OB3" s="349" t="str">
        <f>CONCATENATE("Exh. SEF-10 page "&amp;VLOOKUP(NO6,'Adj List'!$A:$E,5,FALSE)&amp;" of "&amp;'Adj List'!$E$1)</f>
        <v>Exh. SEF-10 page 22 of 36</v>
      </c>
      <c r="OS3" s="348"/>
      <c r="OT3" s="349" t="str">
        <f>CONCATENATE("Exh. SEF-10 page "&amp;VLOOKUP(OG6,'Adj List'!$A:$E,5,FALSE)&amp;" of "&amp;'Adj List'!$E$1)</f>
        <v>Exh. SEF-10 page 23 of 36</v>
      </c>
      <c r="PI3" s="593"/>
      <c r="PJ3" s="593"/>
      <c r="PK3" s="348"/>
      <c r="PL3" s="349" t="str">
        <f>CONCATENATE("Exh. SEF-10 page "&amp;VLOOKUP(OY6,'Adj List'!$A:$E,5,FALSE)&amp;" of "&amp;'Adj List'!$E$1)</f>
        <v>Exh. SEF-10 page 24 of 36</v>
      </c>
      <c r="PM3" s="593"/>
      <c r="PN3" s="593"/>
      <c r="QC3" s="348"/>
      <c r="QD3" s="349" t="str">
        <f>CONCATENATE("Exh. SEF-10 page "&amp;VLOOKUP(PQ6,'Adj List'!$A:$E,5,FALSE)&amp;" of "&amp;'Adj List'!$E$1)</f>
        <v>Exh. SEF-10 page 25 of 36</v>
      </c>
      <c r="QV3" s="348"/>
      <c r="QW3" s="349" t="str">
        <f>CONCATENATE("Exh. SEF-10 page "&amp;VLOOKUP(QJ6,'Adj List'!$A:$E,5,FALSE)&amp;" of "&amp;'Adj List'!$E$1)</f>
        <v>Exh. SEF-10 page 26 of 36</v>
      </c>
      <c r="QZ3" s="404"/>
      <c r="RA3" s="404"/>
      <c r="RN3" s="348"/>
      <c r="RO3" s="349" t="str">
        <f>CONCATENATE("Exh. SEF-10 page "&amp;VLOOKUP(RB6,'Adj List'!$A:$E,5,FALSE)&amp;" of "&amp;'Adj List'!$E$1)</f>
        <v>Exh. SEF-10 page 27 of 36</v>
      </c>
      <c r="SF3" s="348"/>
      <c r="SG3" s="349" t="str">
        <f>CONCATENATE("Exh. SEF-10 page "&amp;VLOOKUP(RT6,'Adj List'!$A:$E,5,FALSE)&amp;" of "&amp;'Adj List'!$E$1)</f>
        <v>Exh. SEF-10 page 28 of 36</v>
      </c>
      <c r="SX3" s="348"/>
      <c r="SY3" s="349" t="str">
        <f>CONCATENATE("Exh. SEF-10 page "&amp;VLOOKUP("PROGRAMMATIC PROVISIONAL PROFORMA",'Adj List'!$A:$E,5,FALSE)&amp;" of "&amp;'Adj List'!$E$1)</f>
        <v>Exh. SEF-10 page 29 of 36</v>
      </c>
      <c r="TD3" s="672"/>
      <c r="TQ3" s="348"/>
      <c r="TR3" s="349" t="str">
        <f>CONCATENATE("Exh. SEF-10 page "&amp;VLOOKUP(TE6,'Adj List'!$A:$E,5,FALSE)&amp;" of "&amp;'Adj List'!$E$1)</f>
        <v>Exh. SEF-10 page 32 of 36</v>
      </c>
      <c r="UJ3" s="348"/>
      <c r="UK3" s="349" t="str">
        <f>CONCATENATE("Exh. SEF-10 page "&amp;VLOOKUP(TX6,'Adj List'!$A:$E,5,FALSE)&amp;" of "&amp;'Adj List'!$E$1)</f>
        <v>Exh. SEF-10 page 30 of 36</v>
      </c>
      <c r="VC3" s="348"/>
      <c r="VD3" s="349" t="str">
        <f>CONCATENATE("Exh. SEF-10 page "&amp;VLOOKUP(UQ6,'Adj List'!$A:$E,5,FALSE)&amp;" of "&amp;'Adj List'!$E$1)</f>
        <v>Exh. SEF-10 page 31 of 36</v>
      </c>
      <c r="VV3" s="348"/>
      <c r="VW3" s="349" t="s">
        <v>1868</v>
      </c>
      <c r="WK3" s="348"/>
      <c r="WL3" s="349" t="str">
        <f>CONCATENATE("Exh. SEF-10 page "&amp;VLOOKUP(VY6,'Adj List'!$A:$E,5,FALSE)&amp;" of "&amp;'Adj List'!$E$1)</f>
        <v>Exh. SEF-10 page 33 of 36</v>
      </c>
    </row>
    <row r="4" spans="1:610" customFormat="1" ht="15" thickBot="1" x14ac:dyDescent="0.4">
      <c r="A4" s="403"/>
      <c r="B4" s="1"/>
      <c r="C4" s="403"/>
      <c r="D4" s="403"/>
      <c r="E4" s="403"/>
      <c r="F4" s="403"/>
      <c r="H4" s="1"/>
      <c r="I4" s="1"/>
      <c r="J4" s="1"/>
      <c r="K4" s="1"/>
      <c r="L4" s="1"/>
      <c r="M4" s="1329" t="s">
        <v>883</v>
      </c>
      <c r="N4" s="1330">
        <f>VLOOKUP(A6,'Adj List'!$A$6:$C$470,3,FALSE)</f>
        <v>11.01</v>
      </c>
      <c r="O4" s="1"/>
      <c r="P4" s="1"/>
      <c r="S4" s="1"/>
      <c r="T4" s="1"/>
      <c r="U4" s="1"/>
      <c r="AE4" s="350" t="s">
        <v>883</v>
      </c>
      <c r="AF4" s="351">
        <f>VLOOKUP(S6,'Adj List'!$A$6:$C$470,3,FALSE)</f>
        <v>11.02</v>
      </c>
      <c r="AW4" s="350" t="s">
        <v>883</v>
      </c>
      <c r="AX4" s="351">
        <f>VLOOKUP(AK6,'Adj List'!$A$6:$C$470,3,FALSE)</f>
        <v>11.03</v>
      </c>
      <c r="BO4" s="350" t="s">
        <v>883</v>
      </c>
      <c r="BP4" s="351">
        <f>VLOOKUP(BC6,'Adj List'!$A$6:$C$470,3,FALSE)</f>
        <v>11.04</v>
      </c>
      <c r="CG4" s="350" t="s">
        <v>883</v>
      </c>
      <c r="CH4" s="351">
        <f>VLOOKUP(BU6,'Adj List'!$A$6:$C$470,3,FALSE)</f>
        <v>11.049999999999999</v>
      </c>
      <c r="CY4" s="350" t="s">
        <v>883</v>
      </c>
      <c r="CZ4" s="351">
        <f>VLOOKUP(CM6,'Adj List'!$A$6:$C$470,3,FALSE)</f>
        <v>11.059999999999999</v>
      </c>
      <c r="DQ4" s="350" t="s">
        <v>883</v>
      </c>
      <c r="DR4" s="351">
        <f>VLOOKUP(DE6,'Adj List'!$A$6:$C$470,3,FALSE)</f>
        <v>11.069999999999999</v>
      </c>
      <c r="EI4" s="350" t="s">
        <v>883</v>
      </c>
      <c r="EJ4" s="351">
        <f>VLOOKUP(DW6,'Adj List'!$A$6:$C$470,3,FALSE)</f>
        <v>11.079999999999998</v>
      </c>
      <c r="FA4" s="350" t="s">
        <v>883</v>
      </c>
      <c r="FB4" s="351">
        <f>VLOOKUP(EO6,'Adj List'!$A$6:$C$470,3,FALSE)</f>
        <v>11.089999999999998</v>
      </c>
      <c r="FS4" s="350" t="s">
        <v>883</v>
      </c>
      <c r="FT4" s="351">
        <f>VLOOKUP(FG6,'Adj List'!$A$6:$C$470,3,FALSE)</f>
        <v>11.099999999999998</v>
      </c>
      <c r="GK4" s="350" t="s">
        <v>883</v>
      </c>
      <c r="GL4" s="351">
        <f>VLOOKUP(FY6,'Adj List'!$A$6:$C$470,3,FALSE)</f>
        <v>11.109999999999998</v>
      </c>
      <c r="HC4" s="350" t="s">
        <v>883</v>
      </c>
      <c r="HD4" s="351">
        <f>VLOOKUP(GQ6,'Adj List'!$A$6:$C$470,3,FALSE)</f>
        <v>11.119999999999997</v>
      </c>
      <c r="HU4" s="350" t="s">
        <v>883</v>
      </c>
      <c r="HV4" s="351">
        <f>VLOOKUP(HI6,'Adj List'!$A$6:$C$470,3,FALSE)</f>
        <v>11.129999999999997</v>
      </c>
      <c r="IE4" s="1"/>
      <c r="IF4" s="1"/>
      <c r="IM4" s="350" t="s">
        <v>883</v>
      </c>
      <c r="IN4" s="351">
        <f>VLOOKUP(IA6,'Adj List'!$A$6:$C$470,3,FALSE)</f>
        <v>11.139999999999997</v>
      </c>
      <c r="JE4" s="350" t="s">
        <v>883</v>
      </c>
      <c r="JF4" s="351">
        <f>VLOOKUP(IS6,'Adj List'!$A$6:$C$470,3,FALSE)</f>
        <v>11.149999999999997</v>
      </c>
      <c r="JW4" s="350" t="s">
        <v>883</v>
      </c>
      <c r="JX4" s="351">
        <f>VLOOKUP(JK6,'Adj List'!$A$6:$C$470,3,FALSE)</f>
        <v>11.159999999999997</v>
      </c>
      <c r="KO4" s="350" t="s">
        <v>883</v>
      </c>
      <c r="KP4" s="351">
        <f>VLOOKUP(KC6,'Adj List'!$A$6:$C$470,3,FALSE)</f>
        <v>11.169999999999996</v>
      </c>
      <c r="LG4" s="350" t="s">
        <v>883</v>
      </c>
      <c r="LH4" s="351">
        <f>VLOOKUP(KU6,'Adj List'!$A$6:$C$470,3,FALSE)</f>
        <v>11.179999999999996</v>
      </c>
      <c r="LY4" s="350" t="s">
        <v>883</v>
      </c>
      <c r="LZ4" s="351">
        <f>VLOOKUP(LM6,'Adj List'!$A$6:$C$470,3,FALSE)</f>
        <v>11.189999999999996</v>
      </c>
      <c r="MQ4" s="350" t="s">
        <v>883</v>
      </c>
      <c r="MR4" s="351">
        <f>VLOOKUP(ME6,'Adj List'!$A$6:$C$470,3,FALSE)</f>
        <v>11.199999999999996</v>
      </c>
      <c r="NI4" s="350" t="s">
        <v>883</v>
      </c>
      <c r="NJ4" s="351">
        <f>VLOOKUP(MW6,'Adj List'!$A$6:$C$470,3,FALSE)</f>
        <v>11.209999999999996</v>
      </c>
      <c r="OA4" s="350" t="s">
        <v>883</v>
      </c>
      <c r="OB4" s="351">
        <f>VLOOKUP(NO6,'Adj List'!$A$6:$C$470,3,FALSE)</f>
        <v>11.219999999999995</v>
      </c>
      <c r="OS4" s="350" t="s">
        <v>883</v>
      </c>
      <c r="OT4" s="351">
        <f>VLOOKUP(OG6,'Adj List'!$A$6:$C$470,3,FALSE)</f>
        <v>11.229999999999995</v>
      </c>
      <c r="PI4" s="593"/>
      <c r="PJ4" s="593"/>
      <c r="PK4" s="350" t="s">
        <v>883</v>
      </c>
      <c r="PL4" s="351">
        <f>VLOOKUP(OY6,'Adj List'!$A$6:$C$470,3,FALSE)</f>
        <v>11.239999999999995</v>
      </c>
      <c r="PM4" s="593"/>
      <c r="PN4" s="593"/>
      <c r="QC4" s="350" t="s">
        <v>883</v>
      </c>
      <c r="QD4" s="351">
        <f>VLOOKUP(PQ6,'Adj List'!$A$6:$C$470,3,FALSE)</f>
        <v>11.249999999999995</v>
      </c>
      <c r="QV4" s="350" t="s">
        <v>883</v>
      </c>
      <c r="QW4" s="351">
        <f>VLOOKUP(QJ6,'Adj List'!$A$6:$C$470,3,FALSE)</f>
        <v>11.259999999999994</v>
      </c>
      <c r="QZ4" s="359"/>
      <c r="RA4" s="359"/>
      <c r="RN4" s="350" t="s">
        <v>883</v>
      </c>
      <c r="RO4" s="351">
        <f>VLOOKUP(RB6,'Adj List'!$A$6:$C$470,3,FALSE)</f>
        <v>11.269999999999994</v>
      </c>
      <c r="SF4" s="350" t="s">
        <v>883</v>
      </c>
      <c r="SG4" s="351">
        <f>VLOOKUP(RT6,'Adj List'!$A$6:$C$470,3,FALSE)</f>
        <v>11.279999999999994</v>
      </c>
      <c r="SX4" s="350" t="s">
        <v>884</v>
      </c>
      <c r="SY4" s="353" t="s">
        <v>1871</v>
      </c>
      <c r="TQ4" s="350" t="s">
        <v>884</v>
      </c>
      <c r="TR4" s="351">
        <f>VLOOKUP(TE6,'Adj List'!$A$6:$C$470,3,FALSE)</f>
        <v>11.349999999999993</v>
      </c>
      <c r="UJ4" s="350" t="s">
        <v>884</v>
      </c>
      <c r="UK4" s="353">
        <f>VLOOKUP(TX6,'Adj List'!A7:E87,3,FALSE)</f>
        <v>11.329999999999993</v>
      </c>
      <c r="VC4" s="350" t="s">
        <v>884</v>
      </c>
      <c r="VD4" s="353">
        <f>VLOOKUP(UQ6,'Adj List'!$A$7:$C$87,3,FALSE)</f>
        <v>11.339999999999993</v>
      </c>
      <c r="VV4" s="350" t="s">
        <v>884</v>
      </c>
      <c r="VW4" s="353">
        <f>VLOOKUP(VJ6,'Adj List'!$A$7:$C$87,3,FALSE)</f>
        <v>11.359999999999992</v>
      </c>
      <c r="WK4" s="350" t="s">
        <v>884</v>
      </c>
      <c r="WL4" s="353">
        <f>VLOOKUP(VY6,'Adj List'!$A$7:$C$87,3,FALSE)</f>
        <v>11.369999999999992</v>
      </c>
    </row>
    <row r="5" spans="1:610" s="3" customFormat="1" x14ac:dyDescent="0.35">
      <c r="A5" s="126" t="str">
        <f>Company</f>
        <v>PUGET SOUND ENERGY - GAS</v>
      </c>
      <c r="B5" s="126"/>
      <c r="C5" s="126"/>
      <c r="D5" s="126"/>
      <c r="E5" s="126"/>
      <c r="F5" s="126"/>
      <c r="G5" s="126"/>
      <c r="H5" s="126"/>
      <c r="I5" s="126"/>
      <c r="J5" s="126"/>
      <c r="K5" s="126"/>
      <c r="L5" s="126"/>
      <c r="M5" s="126"/>
      <c r="N5" s="126"/>
      <c r="O5" s="149"/>
      <c r="P5" s="149"/>
      <c r="Q5" s="149"/>
      <c r="R5" s="149"/>
      <c r="S5" s="126" t="str">
        <f>Company</f>
        <v>PUGET SOUND ENERGY - GAS</v>
      </c>
      <c r="T5" s="126"/>
      <c r="U5" s="126"/>
      <c r="V5" s="126"/>
      <c r="W5" s="126"/>
      <c r="X5" s="126"/>
      <c r="Y5" s="126"/>
      <c r="Z5" s="126"/>
      <c r="AA5" s="126"/>
      <c r="AB5" s="126"/>
      <c r="AC5" s="126"/>
      <c r="AD5" s="126"/>
      <c r="AE5" s="126"/>
      <c r="AF5" s="126"/>
      <c r="AG5" s="149"/>
      <c r="AH5" s="149"/>
      <c r="AI5" s="149"/>
      <c r="AJ5" s="149"/>
      <c r="AK5" s="126" t="str">
        <f>Company</f>
        <v>PUGET SOUND ENERGY - GAS</v>
      </c>
      <c r="AL5" s="126"/>
      <c r="AM5" s="126"/>
      <c r="AN5" s="126"/>
      <c r="AO5" s="126"/>
      <c r="AP5" s="126"/>
      <c r="AQ5" s="126"/>
      <c r="AR5" s="126"/>
      <c r="AS5" s="126"/>
      <c r="AT5" s="126"/>
      <c r="AU5" s="126"/>
      <c r="AV5" s="126"/>
      <c r="AW5" s="126"/>
      <c r="AX5" s="126"/>
      <c r="AY5" s="149"/>
      <c r="AZ5" s="149"/>
      <c r="BA5" s="149"/>
      <c r="BB5" s="149"/>
      <c r="BC5" s="126" t="str">
        <f>Company</f>
        <v>PUGET SOUND ENERGY - GAS</v>
      </c>
      <c r="BD5" s="126"/>
      <c r="BE5" s="126"/>
      <c r="BF5" s="126"/>
      <c r="BG5" s="126"/>
      <c r="BH5" s="126"/>
      <c r="BI5" s="126"/>
      <c r="BJ5" s="126"/>
      <c r="BK5" s="126"/>
      <c r="BL5" s="126"/>
      <c r="BM5" s="126"/>
      <c r="BN5" s="126"/>
      <c r="BO5" s="126"/>
      <c r="BP5" s="126"/>
      <c r="BQ5" s="149"/>
      <c r="BR5" s="149"/>
      <c r="BS5" s="149"/>
      <c r="BT5" s="149"/>
      <c r="BU5" s="126" t="str">
        <f>Company</f>
        <v>PUGET SOUND ENERGY - GAS</v>
      </c>
      <c r="BV5" s="126"/>
      <c r="BW5" s="126"/>
      <c r="BX5" s="126"/>
      <c r="BY5" s="126"/>
      <c r="BZ5" s="126"/>
      <c r="CA5" s="126"/>
      <c r="CB5" s="126"/>
      <c r="CC5" s="126"/>
      <c r="CD5" s="126"/>
      <c r="CE5" s="126"/>
      <c r="CF5" s="126"/>
      <c r="CG5" s="126"/>
      <c r="CH5" s="126"/>
      <c r="CI5" s="149"/>
      <c r="CJ5" s="149"/>
      <c r="CK5" s="149"/>
      <c r="CL5" s="149"/>
      <c r="CM5" s="126" t="str">
        <f>Company</f>
        <v>PUGET SOUND ENERGY - GAS</v>
      </c>
      <c r="CN5" s="126"/>
      <c r="CO5" s="126"/>
      <c r="CP5" s="126"/>
      <c r="CQ5" s="126"/>
      <c r="CR5" s="126"/>
      <c r="CS5" s="126"/>
      <c r="CT5" s="126"/>
      <c r="CU5" s="126"/>
      <c r="CV5" s="126"/>
      <c r="CW5" s="126"/>
      <c r="CX5" s="126"/>
      <c r="CY5" s="126"/>
      <c r="CZ5" s="126"/>
      <c r="DA5" s="149"/>
      <c r="DB5" s="149"/>
      <c r="DC5" s="149"/>
      <c r="DD5" s="149"/>
      <c r="DE5" s="126" t="str">
        <f>Company</f>
        <v>PUGET SOUND ENERGY - GAS</v>
      </c>
      <c r="DF5" s="126"/>
      <c r="DG5" s="126"/>
      <c r="DH5" s="126"/>
      <c r="DI5" s="126"/>
      <c r="DJ5" s="126"/>
      <c r="DK5" s="126"/>
      <c r="DL5" s="126"/>
      <c r="DM5" s="126"/>
      <c r="DN5" s="126"/>
      <c r="DO5" s="126"/>
      <c r="DP5" s="126"/>
      <c r="DQ5" s="126"/>
      <c r="DR5" s="126"/>
      <c r="DS5" s="149"/>
      <c r="DT5" s="149"/>
      <c r="DU5" s="149"/>
      <c r="DV5" s="149"/>
      <c r="DW5" s="126" t="str">
        <f>Company</f>
        <v>PUGET SOUND ENERGY - GAS</v>
      </c>
      <c r="DX5" s="126"/>
      <c r="DY5" s="126"/>
      <c r="DZ5" s="126"/>
      <c r="EA5" s="126"/>
      <c r="EB5" s="126"/>
      <c r="EC5" s="126"/>
      <c r="ED5" s="126"/>
      <c r="EE5" s="126"/>
      <c r="EF5" s="126"/>
      <c r="EG5" s="126"/>
      <c r="EH5" s="126"/>
      <c r="EI5" s="126"/>
      <c r="EJ5" s="126"/>
      <c r="EK5" s="149"/>
      <c r="EL5" s="149"/>
      <c r="EM5" s="149"/>
      <c r="EN5" s="149"/>
      <c r="EO5" s="126" t="str">
        <f>Company</f>
        <v>PUGET SOUND ENERGY - GAS</v>
      </c>
      <c r="EP5" s="126"/>
      <c r="EQ5" s="126"/>
      <c r="ER5" s="126"/>
      <c r="ES5" s="126"/>
      <c r="ET5" s="126"/>
      <c r="EU5" s="126"/>
      <c r="EV5" s="126"/>
      <c r="EW5" s="126"/>
      <c r="EX5" s="126"/>
      <c r="EY5" s="126"/>
      <c r="EZ5" s="126"/>
      <c r="FA5" s="126"/>
      <c r="FB5" s="126"/>
      <c r="FC5" s="149"/>
      <c r="FD5" s="149"/>
      <c r="FE5" s="149"/>
      <c r="FF5" s="149"/>
      <c r="FG5" s="126" t="str">
        <f>Company</f>
        <v>PUGET SOUND ENERGY - GAS</v>
      </c>
      <c r="FH5" s="126"/>
      <c r="FI5" s="126"/>
      <c r="FJ5" s="126"/>
      <c r="FK5" s="126"/>
      <c r="FL5" s="126"/>
      <c r="FM5" s="126"/>
      <c r="FN5" s="126"/>
      <c r="FO5" s="126"/>
      <c r="FP5" s="126"/>
      <c r="FQ5" s="126"/>
      <c r="FR5" s="126"/>
      <c r="FS5" s="126"/>
      <c r="FT5" s="126"/>
      <c r="FU5" s="149"/>
      <c r="FV5" s="149"/>
      <c r="FW5" s="149"/>
      <c r="FX5" s="149"/>
      <c r="FY5" s="126" t="str">
        <f>Company</f>
        <v>PUGET SOUND ENERGY - GAS</v>
      </c>
      <c r="FZ5" s="126"/>
      <c r="GA5" s="126"/>
      <c r="GB5" s="126"/>
      <c r="GC5" s="126"/>
      <c r="GD5" s="126"/>
      <c r="GE5" s="126"/>
      <c r="GF5" s="126"/>
      <c r="GG5" s="126"/>
      <c r="GH5" s="126"/>
      <c r="GI5" s="126"/>
      <c r="GJ5" s="126"/>
      <c r="GK5" s="126"/>
      <c r="GL5" s="126"/>
      <c r="GM5" s="149"/>
      <c r="GN5" s="149"/>
      <c r="GO5" s="149"/>
      <c r="GP5" s="149"/>
      <c r="GQ5" s="126" t="str">
        <f>Company</f>
        <v>PUGET SOUND ENERGY - GAS</v>
      </c>
      <c r="GR5" s="126"/>
      <c r="GS5" s="126"/>
      <c r="GT5" s="126"/>
      <c r="GU5" s="126"/>
      <c r="GV5" s="126"/>
      <c r="GW5" s="126"/>
      <c r="GX5" s="126"/>
      <c r="GY5" s="126"/>
      <c r="GZ5" s="126"/>
      <c r="HA5" s="126"/>
      <c r="HB5" s="126"/>
      <c r="HC5" s="126"/>
      <c r="HD5" s="126"/>
      <c r="HE5" s="149"/>
      <c r="HF5" s="149"/>
      <c r="HG5" s="149"/>
      <c r="HH5" s="149"/>
      <c r="HI5" s="126" t="str">
        <f>Company</f>
        <v>PUGET SOUND ENERGY - GAS</v>
      </c>
      <c r="HJ5" s="126"/>
      <c r="HK5" s="126"/>
      <c r="HL5" s="126"/>
      <c r="HM5" s="126"/>
      <c r="HN5" s="126"/>
      <c r="HO5" s="126"/>
      <c r="HP5" s="126"/>
      <c r="HQ5" s="126"/>
      <c r="HR5" s="126"/>
      <c r="HS5" s="126"/>
      <c r="HT5" s="126"/>
      <c r="HU5" s="126"/>
      <c r="HV5" s="126"/>
      <c r="HW5" s="149"/>
      <c r="HX5" s="149"/>
      <c r="HY5" s="149"/>
      <c r="HZ5" s="149"/>
      <c r="IA5" s="126" t="str">
        <f>Company</f>
        <v>PUGET SOUND ENERGY - GAS</v>
      </c>
      <c r="IB5" s="126"/>
      <c r="IC5" s="126"/>
      <c r="ID5" s="126"/>
      <c r="IE5" s="126"/>
      <c r="IF5" s="126"/>
      <c r="IG5" s="126"/>
      <c r="IH5" s="126"/>
      <c r="II5" s="126"/>
      <c r="IJ5" s="126"/>
      <c r="IK5" s="126"/>
      <c r="IL5" s="126"/>
      <c r="IM5" s="126"/>
      <c r="IN5" s="126"/>
      <c r="IO5" s="149"/>
      <c r="IP5" s="149"/>
      <c r="IQ5" s="149"/>
      <c r="IR5" s="149"/>
      <c r="IS5" s="126" t="str">
        <f>Company</f>
        <v>PUGET SOUND ENERGY - GAS</v>
      </c>
      <c r="IT5" s="126"/>
      <c r="IU5" s="126"/>
      <c r="IV5" s="126"/>
      <c r="IW5" s="126"/>
      <c r="IX5" s="126"/>
      <c r="IY5" s="126"/>
      <c r="IZ5" s="126"/>
      <c r="JA5" s="126"/>
      <c r="JB5" s="126"/>
      <c r="JC5" s="326"/>
      <c r="JD5" s="326"/>
      <c r="JE5" s="126"/>
      <c r="JF5" s="126"/>
      <c r="JG5" s="149"/>
      <c r="JH5" s="149"/>
      <c r="JI5" s="149"/>
      <c r="JJ5" s="149"/>
      <c r="JK5" s="126" t="str">
        <f>Company</f>
        <v>PUGET SOUND ENERGY - GAS</v>
      </c>
      <c r="JL5" s="126"/>
      <c r="JM5" s="126"/>
      <c r="JN5" s="126"/>
      <c r="JO5" s="326"/>
      <c r="JP5" s="326"/>
      <c r="JQ5" s="126"/>
      <c r="JR5" s="126"/>
      <c r="JS5" s="126"/>
      <c r="JT5" s="126"/>
      <c r="JU5" s="126"/>
      <c r="JV5" s="126"/>
      <c r="JW5" s="126"/>
      <c r="JX5" s="126"/>
      <c r="JY5" s="126"/>
      <c r="JZ5" s="126"/>
      <c r="KA5" s="126"/>
      <c r="KB5" s="126"/>
      <c r="KC5" s="126" t="str">
        <f>Company</f>
        <v>PUGET SOUND ENERGY - GAS</v>
      </c>
      <c r="KD5" s="126"/>
      <c r="KE5" s="126"/>
      <c r="KF5" s="126"/>
      <c r="KG5" s="126"/>
      <c r="KH5" s="126"/>
      <c r="KI5" s="126"/>
      <c r="KJ5" s="126"/>
      <c r="KK5" s="126"/>
      <c r="KL5" s="126"/>
      <c r="KM5" s="126"/>
      <c r="KN5" s="126"/>
      <c r="KO5" s="126"/>
      <c r="KP5" s="126"/>
      <c r="KQ5" s="149"/>
      <c r="KR5" s="149"/>
      <c r="KS5" s="149"/>
      <c r="KT5" s="149"/>
      <c r="KU5" s="126" t="str">
        <f>Company</f>
        <v>PUGET SOUND ENERGY - GAS</v>
      </c>
      <c r="KV5" s="126"/>
      <c r="KW5" s="126"/>
      <c r="KX5" s="126"/>
      <c r="KY5" s="126"/>
      <c r="KZ5" s="126"/>
      <c r="LA5" s="126"/>
      <c r="LB5" s="126"/>
      <c r="LC5" s="126"/>
      <c r="LD5" s="126"/>
      <c r="LE5" s="126"/>
      <c r="LF5" s="126"/>
      <c r="LG5" s="126"/>
      <c r="LH5" s="126"/>
      <c r="LI5" s="149"/>
      <c r="LJ5" s="149"/>
      <c r="LK5" s="149"/>
      <c r="LL5" s="149"/>
      <c r="LM5" s="126" t="str">
        <f>Company</f>
        <v>PUGET SOUND ENERGY - GAS</v>
      </c>
      <c r="LN5" s="126"/>
      <c r="LO5" s="126"/>
      <c r="LP5" s="126"/>
      <c r="LQ5" s="126"/>
      <c r="LR5" s="126"/>
      <c r="LS5" s="126"/>
      <c r="LT5" s="126"/>
      <c r="LU5" s="126"/>
      <c r="LV5" s="126"/>
      <c r="LW5" s="126"/>
      <c r="LX5" s="126"/>
      <c r="LY5" s="126"/>
      <c r="LZ5" s="126"/>
      <c r="MA5" s="149"/>
      <c r="MB5" s="149"/>
      <c r="MC5" s="149"/>
      <c r="MD5" s="149"/>
      <c r="ME5" s="126" t="str">
        <f>Company</f>
        <v>PUGET SOUND ENERGY - GAS</v>
      </c>
      <c r="MF5" s="126"/>
      <c r="MG5" s="126"/>
      <c r="MH5" s="126"/>
      <c r="MI5" s="126"/>
      <c r="MJ5" s="126"/>
      <c r="MK5" s="126"/>
      <c r="ML5" s="126"/>
      <c r="MM5" s="126"/>
      <c r="MN5" s="126"/>
      <c r="MO5" s="126"/>
      <c r="MP5" s="126"/>
      <c r="MQ5" s="126"/>
      <c r="MR5" s="126"/>
      <c r="MS5" s="149"/>
      <c r="MT5" s="149"/>
      <c r="MU5" s="149"/>
      <c r="MV5" s="149"/>
      <c r="MW5" s="126" t="str">
        <f>Company</f>
        <v>PUGET SOUND ENERGY - GAS</v>
      </c>
      <c r="MX5" s="126"/>
      <c r="MY5" s="126"/>
      <c r="MZ5" s="126"/>
      <c r="NA5" s="126"/>
      <c r="NB5" s="126"/>
      <c r="NC5" s="126"/>
      <c r="ND5" s="126"/>
      <c r="NE5" s="126"/>
      <c r="NF5" s="126"/>
      <c r="NG5" s="126"/>
      <c r="NH5" s="126"/>
      <c r="NI5" s="126"/>
      <c r="NJ5" s="126"/>
      <c r="NK5" s="149"/>
      <c r="NL5" s="149"/>
      <c r="NM5" s="149"/>
      <c r="NN5" s="149"/>
      <c r="NO5" s="126" t="str">
        <f>Company</f>
        <v>PUGET SOUND ENERGY - GAS</v>
      </c>
      <c r="NP5" s="126"/>
      <c r="NQ5" s="126"/>
      <c r="NR5" s="126"/>
      <c r="NS5" s="126"/>
      <c r="NT5" s="126"/>
      <c r="NU5" s="126"/>
      <c r="NV5" s="126"/>
      <c r="NW5" s="126"/>
      <c r="NX5" s="126"/>
      <c r="NY5" s="126"/>
      <c r="NZ5" s="126"/>
      <c r="OA5" s="126"/>
      <c r="OB5" s="126"/>
      <c r="OC5" s="149"/>
      <c r="OD5" s="149"/>
      <c r="OE5" s="149"/>
      <c r="OF5" s="149"/>
      <c r="OG5" s="126" t="str">
        <f>Company</f>
        <v>PUGET SOUND ENERGY - GAS</v>
      </c>
      <c r="OH5" s="126"/>
      <c r="OI5" s="126"/>
      <c r="OJ5" s="126"/>
      <c r="OK5" s="126"/>
      <c r="OL5" s="126"/>
      <c r="OM5" s="126"/>
      <c r="ON5" s="126"/>
      <c r="OO5" s="126"/>
      <c r="OP5" s="126"/>
      <c r="OQ5" s="126"/>
      <c r="OR5" s="126"/>
      <c r="OS5" s="126"/>
      <c r="OT5" s="126"/>
      <c r="OU5" s="149"/>
      <c r="OV5" s="149"/>
      <c r="OW5" s="149"/>
      <c r="OX5" s="149"/>
      <c r="OY5" s="126" t="str">
        <f>Company</f>
        <v>PUGET SOUND ENERGY - GAS</v>
      </c>
      <c r="OZ5" s="126"/>
      <c r="PA5" s="126"/>
      <c r="PB5" s="126"/>
      <c r="PC5" s="126"/>
      <c r="PD5" s="126"/>
      <c r="PE5" s="126"/>
      <c r="PF5" s="126"/>
      <c r="PG5" s="126"/>
      <c r="PH5" s="126"/>
      <c r="PI5" s="668"/>
      <c r="PJ5" s="668"/>
      <c r="PK5" s="668"/>
      <c r="PL5" s="668"/>
      <c r="PM5" s="747"/>
      <c r="PN5" s="747"/>
      <c r="PO5" s="149"/>
      <c r="PP5" s="149"/>
      <c r="PQ5" s="126" t="str">
        <f>Company</f>
        <v>PUGET SOUND ENERGY - GAS</v>
      </c>
      <c r="PR5" s="126"/>
      <c r="PS5" s="126"/>
      <c r="PT5" s="126"/>
      <c r="PU5" s="126"/>
      <c r="PV5" s="126"/>
      <c r="PW5" s="126"/>
      <c r="PX5" s="126"/>
      <c r="PY5" s="126"/>
      <c r="PZ5" s="126"/>
      <c r="QA5" s="126"/>
      <c r="QB5" s="126"/>
      <c r="QC5" s="126"/>
      <c r="QD5" s="126"/>
      <c r="QE5" s="149"/>
      <c r="QF5" s="149"/>
      <c r="QG5" s="149"/>
      <c r="QH5" s="149"/>
      <c r="QI5" s="326"/>
      <c r="QJ5" s="126" t="str">
        <f>Company</f>
        <v>PUGET SOUND ENERGY - GAS</v>
      </c>
      <c r="QK5" s="325"/>
      <c r="QL5" s="325"/>
      <c r="QM5" s="325"/>
      <c r="QN5" s="325"/>
      <c r="QO5" s="325"/>
      <c r="QP5" s="325"/>
      <c r="QQ5" s="325"/>
      <c r="QR5" s="325"/>
      <c r="QS5" s="325"/>
      <c r="QT5" s="325"/>
      <c r="QU5" s="325"/>
      <c r="QV5" s="325"/>
      <c r="QW5" s="325"/>
      <c r="QX5" s="442"/>
      <c r="QY5" s="442"/>
      <c r="QZ5" s="442"/>
      <c r="RA5" s="442"/>
      <c r="RB5" s="126" t="str">
        <f>Company</f>
        <v>PUGET SOUND ENERGY - GAS</v>
      </c>
      <c r="RC5" s="126"/>
      <c r="RD5" s="126"/>
      <c r="RE5" s="126"/>
      <c r="RF5" s="126"/>
      <c r="RG5" s="126"/>
      <c r="RH5" s="126"/>
      <c r="RI5" s="126"/>
      <c r="RJ5" s="126"/>
      <c r="RK5" s="126"/>
      <c r="RL5" s="126"/>
      <c r="RM5" s="126"/>
      <c r="RN5" s="126"/>
      <c r="RO5" s="126"/>
      <c r="RP5" s="149"/>
      <c r="RQ5" s="149"/>
      <c r="RR5" s="149"/>
      <c r="RS5" s="149"/>
      <c r="RT5" s="126" t="str">
        <f>Company</f>
        <v>PUGET SOUND ENERGY - GAS</v>
      </c>
      <c r="RU5" s="325"/>
      <c r="RV5" s="325"/>
      <c r="RW5" s="325"/>
      <c r="RX5" s="325"/>
      <c r="RY5" s="325"/>
      <c r="RZ5" s="325"/>
      <c r="SA5" s="325"/>
      <c r="SB5" s="325"/>
      <c r="SC5" s="325"/>
      <c r="SD5" s="325"/>
      <c r="SE5" s="325"/>
      <c r="SF5" s="325"/>
      <c r="SG5" s="325"/>
      <c r="SH5" s="442"/>
      <c r="SI5" s="442"/>
      <c r="SJ5" s="442"/>
      <c r="SK5" s="442"/>
      <c r="SL5" s="126" t="str">
        <f>Company</f>
        <v>PUGET SOUND ENERGY - GAS</v>
      </c>
      <c r="SM5" s="326"/>
      <c r="SN5" s="326"/>
      <c r="SO5" s="326"/>
      <c r="SP5" s="326"/>
      <c r="SQ5" s="326"/>
      <c r="SR5" s="326"/>
      <c r="SS5" s="326"/>
      <c r="ST5" s="326"/>
      <c r="SU5" s="326"/>
      <c r="SV5" s="326"/>
      <c r="SW5" s="326"/>
      <c r="SX5" s="326"/>
      <c r="SY5" s="326"/>
      <c r="SZ5" s="737"/>
      <c r="TA5" s="737"/>
      <c r="TB5" s="737"/>
      <c r="TC5" s="737"/>
      <c r="TD5" s="160"/>
      <c r="TE5" s="126" t="str">
        <f>Company</f>
        <v>PUGET SOUND ENERGY - GAS</v>
      </c>
      <c r="TF5" s="325"/>
      <c r="TG5" s="325"/>
      <c r="TH5" s="325"/>
      <c r="TI5" s="325"/>
      <c r="TJ5" s="325"/>
      <c r="TK5" s="325"/>
      <c r="TL5" s="325"/>
      <c r="TM5" s="325"/>
      <c r="TN5" s="325"/>
      <c r="TO5" s="325"/>
      <c r="TP5" s="325"/>
      <c r="TQ5" s="325"/>
      <c r="TR5" s="325"/>
      <c r="TS5" s="442"/>
      <c r="TT5" s="442"/>
      <c r="TU5" s="442"/>
      <c r="TV5" s="442"/>
      <c r="TW5"/>
      <c r="TX5" s="126" t="str">
        <f>Company</f>
        <v>PUGET SOUND ENERGY - GAS</v>
      </c>
      <c r="TY5" s="325"/>
      <c r="TZ5" s="325"/>
      <c r="UA5" s="325"/>
      <c r="UB5" s="325"/>
      <c r="UC5" s="325"/>
      <c r="UD5" s="325"/>
      <c r="UE5" s="325"/>
      <c r="UF5" s="325"/>
      <c r="UG5" s="325"/>
      <c r="UH5" s="325"/>
      <c r="UI5" s="325"/>
      <c r="UJ5" s="325"/>
      <c r="UK5" s="325"/>
      <c r="UL5" s="442"/>
      <c r="UM5" s="442"/>
      <c r="UN5" s="442"/>
      <c r="UO5" s="442"/>
      <c r="UQ5" s="126" t="str">
        <f>Company</f>
        <v>PUGET SOUND ENERGY - GAS</v>
      </c>
      <c r="UR5" s="325"/>
      <c r="US5" s="325"/>
      <c r="UT5" s="325"/>
      <c r="UU5" s="325"/>
      <c r="UV5" s="325"/>
      <c r="UW5" s="325"/>
      <c r="UX5" s="325"/>
      <c r="UY5" s="325"/>
      <c r="UZ5" s="325"/>
      <c r="VA5" s="325"/>
      <c r="VB5" s="325"/>
      <c r="VC5" s="325"/>
      <c r="VD5" s="325"/>
      <c r="VE5" s="442"/>
      <c r="VF5" s="442"/>
      <c r="VG5" s="442"/>
      <c r="VH5" s="442"/>
      <c r="VJ5" s="126" t="str">
        <f>Company</f>
        <v>PUGET SOUND ENERGY - GAS</v>
      </c>
      <c r="VK5" s="325"/>
      <c r="VL5" s="325"/>
      <c r="VM5" s="325"/>
      <c r="VN5" s="325"/>
      <c r="VO5" s="325"/>
      <c r="VP5" s="325"/>
      <c r="VQ5" s="325"/>
      <c r="VR5" s="325"/>
      <c r="VS5" s="325"/>
      <c r="VT5" s="325"/>
      <c r="VU5" s="325"/>
      <c r="VV5" s="325"/>
      <c r="VW5" s="325"/>
      <c r="VY5" s="126" t="str">
        <f>Company</f>
        <v>PUGET SOUND ENERGY - GAS</v>
      </c>
      <c r="VZ5" s="325"/>
      <c r="WA5" s="325"/>
      <c r="WB5" s="325"/>
      <c r="WC5" s="325"/>
      <c r="WD5" s="325"/>
      <c r="WE5" s="325"/>
      <c r="WF5" s="325"/>
      <c r="WG5" s="325"/>
      <c r="WH5" s="325"/>
      <c r="WI5" s="325"/>
      <c r="WJ5" s="325"/>
      <c r="WK5" s="325"/>
      <c r="WL5" s="325"/>
    </row>
    <row r="6" spans="1:610" s="223" customFormat="1" x14ac:dyDescent="0.35">
      <c r="A6" s="221" t="str">
        <f>'Adj List'!A7</f>
        <v>REVENUES AND EXPENSES</v>
      </c>
      <c r="B6" s="221"/>
      <c r="C6" s="221"/>
      <c r="D6" s="221"/>
      <c r="E6" s="221"/>
      <c r="F6" s="221"/>
      <c r="G6" s="221"/>
      <c r="H6" s="221"/>
      <c r="I6" s="221"/>
      <c r="J6" s="221"/>
      <c r="K6" s="221"/>
      <c r="L6" s="221"/>
      <c r="M6" s="221"/>
      <c r="N6" s="221"/>
      <c r="O6" s="744"/>
      <c r="P6" s="744"/>
      <c r="Q6" s="744"/>
      <c r="R6" s="744"/>
      <c r="S6" s="221" t="str">
        <f>'Adj List'!A8</f>
        <v>PASS-THROUGH REVENUE &amp; EXPENSE</v>
      </c>
      <c r="T6" s="221"/>
      <c r="U6" s="221"/>
      <c r="V6" s="221"/>
      <c r="W6" s="221"/>
      <c r="X6" s="221"/>
      <c r="Y6" s="221"/>
      <c r="Z6" s="221"/>
      <c r="AA6" s="221"/>
      <c r="AB6" s="221"/>
      <c r="AC6" s="221"/>
      <c r="AD6" s="221"/>
      <c r="AE6" s="221"/>
      <c r="AF6" s="221"/>
      <c r="AG6" s="744"/>
      <c r="AH6" s="744"/>
      <c r="AI6" s="744"/>
      <c r="AJ6" s="744"/>
      <c r="AK6" s="221" t="str">
        <f>'Adj List'!A9</f>
        <v>TEMPERATURE NORMALIZATION</v>
      </c>
      <c r="AL6" s="221"/>
      <c r="AM6" s="221"/>
      <c r="AN6" s="221"/>
      <c r="AO6" s="221"/>
      <c r="AP6" s="221"/>
      <c r="AQ6" s="221"/>
      <c r="AR6" s="221"/>
      <c r="AS6" s="221"/>
      <c r="AT6" s="221"/>
      <c r="AU6" s="221"/>
      <c r="AV6" s="221"/>
      <c r="AW6" s="221"/>
      <c r="AX6" s="221"/>
      <c r="AY6" s="744"/>
      <c r="AZ6" s="744"/>
      <c r="BA6" s="744"/>
      <c r="BB6" s="744"/>
      <c r="BC6" s="221" t="str">
        <f>'Adj List'!A10</f>
        <v>FEDERAL INCOME TAX</v>
      </c>
      <c r="BD6" s="221"/>
      <c r="BE6" s="221"/>
      <c r="BF6" s="221"/>
      <c r="BG6" s="221"/>
      <c r="BH6" s="221"/>
      <c r="BI6" s="221"/>
      <c r="BJ6" s="221"/>
      <c r="BK6" s="221"/>
      <c r="BL6" s="221"/>
      <c r="BM6" s="221"/>
      <c r="BN6" s="221"/>
      <c r="BO6" s="221"/>
      <c r="BP6" s="221"/>
      <c r="BQ6" s="744"/>
      <c r="BR6" s="744"/>
      <c r="BS6" s="744"/>
      <c r="BT6" s="744"/>
      <c r="BU6" s="221" t="str">
        <f>'Adj List'!A11</f>
        <v>TAX BENEFIT OF INTEREST</v>
      </c>
      <c r="BV6" s="221"/>
      <c r="BW6" s="221"/>
      <c r="BX6" s="221"/>
      <c r="BY6" s="221"/>
      <c r="BZ6" s="221"/>
      <c r="CA6" s="221"/>
      <c r="CB6" s="221"/>
      <c r="CC6" s="221"/>
      <c r="CD6" s="221"/>
      <c r="CE6" s="221"/>
      <c r="CF6" s="221"/>
      <c r="CG6" s="221"/>
      <c r="CH6" s="221"/>
      <c r="CI6" s="744"/>
      <c r="CJ6" s="744"/>
      <c r="CK6" s="744"/>
      <c r="CL6" s="744"/>
      <c r="CM6" s="221" t="str">
        <f>'Adj List'!A12</f>
        <v>BAD DEBT EXPENSE</v>
      </c>
      <c r="CN6" s="221"/>
      <c r="CO6" s="221"/>
      <c r="CP6" s="221"/>
      <c r="CQ6" s="221"/>
      <c r="CR6" s="221"/>
      <c r="CS6" s="221"/>
      <c r="CT6" s="221"/>
      <c r="CU6" s="221"/>
      <c r="CV6" s="221"/>
      <c r="CW6" s="221"/>
      <c r="CX6" s="221"/>
      <c r="CY6" s="221"/>
      <c r="CZ6" s="221"/>
      <c r="DA6" s="744"/>
      <c r="DB6" s="744"/>
      <c r="DC6" s="744"/>
      <c r="DD6" s="744"/>
      <c r="DE6" s="221" t="str">
        <f>'Adj List'!A13</f>
        <v>RATE CASE EXPENSE</v>
      </c>
      <c r="DF6" s="221"/>
      <c r="DG6" s="221"/>
      <c r="DH6" s="221"/>
      <c r="DI6" s="221"/>
      <c r="DJ6" s="221"/>
      <c r="DK6" s="221"/>
      <c r="DL6" s="221"/>
      <c r="DM6" s="221"/>
      <c r="DN6" s="221"/>
      <c r="DO6" s="221"/>
      <c r="DP6" s="221"/>
      <c r="DQ6" s="221"/>
      <c r="DR6" s="221"/>
      <c r="DS6" s="744"/>
      <c r="DT6" s="744"/>
      <c r="DU6" s="744"/>
      <c r="DV6" s="744"/>
      <c r="DW6" s="221" t="str">
        <f>'Adj List'!A14</f>
        <v xml:space="preserve">EXCISE TAX </v>
      </c>
      <c r="DX6" s="221"/>
      <c r="DY6" s="221"/>
      <c r="DZ6" s="221"/>
      <c r="EA6" s="221"/>
      <c r="EB6" s="221"/>
      <c r="EC6" s="221"/>
      <c r="ED6" s="221"/>
      <c r="EE6" s="221"/>
      <c r="EF6" s="221"/>
      <c r="EG6" s="221"/>
      <c r="EH6" s="221"/>
      <c r="EI6" s="221"/>
      <c r="EJ6" s="221"/>
      <c r="EK6" s="744"/>
      <c r="EL6" s="744"/>
      <c r="EM6" s="744"/>
      <c r="EN6" s="744"/>
      <c r="EO6" s="221" t="str">
        <f>'Adj List'!A15</f>
        <v>EMPLOYEE INSURANCE</v>
      </c>
      <c r="EP6" s="221"/>
      <c r="EQ6" s="221"/>
      <c r="ER6" s="221"/>
      <c r="ES6" s="221"/>
      <c r="ET6" s="221"/>
      <c r="EU6" s="222"/>
      <c r="EV6" s="221"/>
      <c r="EW6" s="221"/>
      <c r="EX6" s="221"/>
      <c r="EY6" s="221"/>
      <c r="EZ6" s="221"/>
      <c r="FA6" s="221"/>
      <c r="FB6" s="221"/>
      <c r="FC6" s="744"/>
      <c r="FD6" s="744"/>
      <c r="FE6" s="744"/>
      <c r="FF6" s="744"/>
      <c r="FG6" s="221" t="str">
        <f>'Adj List'!A16</f>
        <v>INJURIES &amp; DAMAGES</v>
      </c>
      <c r="FH6" s="221"/>
      <c r="FI6" s="221"/>
      <c r="FJ6" s="221"/>
      <c r="FK6" s="221"/>
      <c r="FL6" s="221"/>
      <c r="FM6" s="221"/>
      <c r="FN6" s="221"/>
      <c r="FO6" s="221"/>
      <c r="FP6" s="221"/>
      <c r="FQ6" s="221"/>
      <c r="FR6" s="221"/>
      <c r="FS6" s="221"/>
      <c r="FT6" s="221"/>
      <c r="FU6" s="744"/>
      <c r="FV6" s="744"/>
      <c r="FW6" s="744"/>
      <c r="FX6" s="744"/>
      <c r="FY6" s="221" t="str">
        <f>'Adj List'!A17</f>
        <v>INCENTIVE PAY</v>
      </c>
      <c r="FZ6" s="221"/>
      <c r="GA6" s="221"/>
      <c r="GB6" s="221"/>
      <c r="GC6" s="221"/>
      <c r="GD6" s="221"/>
      <c r="GE6" s="221"/>
      <c r="GF6" s="221"/>
      <c r="GG6" s="221"/>
      <c r="GH6" s="221"/>
      <c r="GI6" s="221"/>
      <c r="GJ6" s="221"/>
      <c r="GK6" s="221"/>
      <c r="GL6" s="221"/>
      <c r="GM6" s="744"/>
      <c r="GN6" s="744"/>
      <c r="GO6" s="744"/>
      <c r="GP6" s="744"/>
      <c r="GQ6" s="221" t="str">
        <f>'Adj List'!A18</f>
        <v>INVESTMENT PLAN</v>
      </c>
      <c r="GR6" s="221"/>
      <c r="GS6" s="221"/>
      <c r="GT6" s="221"/>
      <c r="GU6" s="221"/>
      <c r="GV6" s="221"/>
      <c r="GW6" s="222"/>
      <c r="GX6" s="221"/>
      <c r="GY6" s="221"/>
      <c r="GZ6" s="221"/>
      <c r="HA6" s="221"/>
      <c r="HB6" s="221"/>
      <c r="HC6" s="221"/>
      <c r="HD6" s="221"/>
      <c r="HE6" s="744"/>
      <c r="HF6" s="744"/>
      <c r="HG6" s="744"/>
      <c r="HH6" s="744"/>
      <c r="HI6" s="221" t="str">
        <f>'Adj List'!A19</f>
        <v>INTEREST ON  CUSTOMER DEPOSITS</v>
      </c>
      <c r="HJ6" s="221"/>
      <c r="HK6" s="221"/>
      <c r="HL6" s="221"/>
      <c r="HM6" s="221"/>
      <c r="HN6" s="221"/>
      <c r="HO6" s="221"/>
      <c r="HP6" s="221"/>
      <c r="HQ6" s="221"/>
      <c r="HR6" s="221"/>
      <c r="HS6" s="221"/>
      <c r="HT6" s="221"/>
      <c r="HU6" s="221"/>
      <c r="HV6" s="221"/>
      <c r="HW6" s="744"/>
      <c r="HX6" s="744"/>
      <c r="HY6" s="744"/>
      <c r="HZ6" s="744"/>
      <c r="IA6" s="221" t="str">
        <f>'Adj List'!A20</f>
        <v>PROPERTY AND LIAB INSURANCE</v>
      </c>
      <c r="IB6" s="221"/>
      <c r="IC6" s="221"/>
      <c r="ID6" s="221"/>
      <c r="IE6" s="221"/>
      <c r="IF6" s="221"/>
      <c r="IG6" s="222"/>
      <c r="IH6" s="221"/>
      <c r="II6" s="221"/>
      <c r="IJ6" s="221"/>
      <c r="IK6" s="221"/>
      <c r="IL6" s="221"/>
      <c r="IM6" s="221"/>
      <c r="IN6" s="221"/>
      <c r="IO6" s="744"/>
      <c r="IP6" s="744"/>
      <c r="IQ6" s="744"/>
      <c r="IR6" s="744"/>
      <c r="IS6" s="221" t="str">
        <f>'Adj List'!A21</f>
        <v>DEFERRED GAINS AND LOSSES ON PROPERTY SALES</v>
      </c>
      <c r="IT6" s="222"/>
      <c r="IU6" s="222"/>
      <c r="IV6" s="222"/>
      <c r="IW6" s="222"/>
      <c r="IX6" s="221"/>
      <c r="IY6" s="221"/>
      <c r="IZ6" s="222"/>
      <c r="JA6" s="221"/>
      <c r="JB6" s="221"/>
      <c r="JC6" s="221"/>
      <c r="JD6" s="221"/>
      <c r="JE6" s="221"/>
      <c r="JF6" s="221"/>
      <c r="JG6" s="744"/>
      <c r="JH6" s="744"/>
      <c r="JI6" s="744"/>
      <c r="JJ6" s="744"/>
      <c r="JK6" s="221" t="str">
        <f>'Adj List'!A22</f>
        <v>D&amp;O INSURANCE</v>
      </c>
      <c r="JL6" s="221"/>
      <c r="JM6" s="221"/>
      <c r="JN6" s="221"/>
      <c r="JO6" s="221"/>
      <c r="JP6" s="221"/>
      <c r="JQ6" s="221"/>
      <c r="JR6" s="221"/>
      <c r="JS6" s="221"/>
      <c r="JT6" s="221"/>
      <c r="JU6" s="221"/>
      <c r="JV6" s="221"/>
      <c r="JW6" s="221"/>
      <c r="JX6" s="221"/>
      <c r="JY6" s="744"/>
      <c r="JZ6" s="744"/>
      <c r="KA6" s="744"/>
      <c r="KB6" s="744"/>
      <c r="KC6" s="221" t="str">
        <f>'Adj List'!A23</f>
        <v>PENSION PLAN</v>
      </c>
      <c r="KD6" s="221"/>
      <c r="KE6" s="221"/>
      <c r="KF6" s="221"/>
      <c r="KG6" s="221"/>
      <c r="KH6" s="221"/>
      <c r="KI6" s="222"/>
      <c r="KJ6" s="221"/>
      <c r="KK6" s="221"/>
      <c r="KL6" s="221"/>
      <c r="KM6" s="221"/>
      <c r="KN6" s="221"/>
      <c r="KO6" s="221"/>
      <c r="KP6" s="221"/>
      <c r="KQ6" s="744"/>
      <c r="KR6" s="744"/>
      <c r="KS6" s="744"/>
      <c r="KT6" s="744"/>
      <c r="KU6" s="221" t="str">
        <f>'Adj List'!A24</f>
        <v>WAGE INCREASE</v>
      </c>
      <c r="KV6" s="221"/>
      <c r="KW6" s="221"/>
      <c r="KX6" s="221"/>
      <c r="KY6" s="221"/>
      <c r="KZ6" s="221"/>
      <c r="LA6" s="222"/>
      <c r="LB6" s="221"/>
      <c r="LC6" s="221"/>
      <c r="LD6" s="221"/>
      <c r="LE6" s="221"/>
      <c r="LF6" s="221"/>
      <c r="LG6" s="221"/>
      <c r="LH6" s="221"/>
      <c r="LI6" s="744"/>
      <c r="LJ6" s="744"/>
      <c r="LK6" s="744"/>
      <c r="LL6" s="744"/>
      <c r="LM6" s="221" t="str">
        <f>'Adj List'!A25</f>
        <v>AMA TO EOP RATE BASE</v>
      </c>
      <c r="LN6" s="222"/>
      <c r="LO6" s="222"/>
      <c r="LP6" s="222"/>
      <c r="LQ6" s="222"/>
      <c r="LR6" s="221"/>
      <c r="LS6" s="221"/>
      <c r="LT6" s="222"/>
      <c r="LU6" s="222"/>
      <c r="LV6" s="222"/>
      <c r="LW6" s="222"/>
      <c r="LX6" s="222"/>
      <c r="LY6" s="222"/>
      <c r="LZ6" s="222"/>
      <c r="MA6" s="746"/>
      <c r="MB6" s="746"/>
      <c r="MC6" s="746"/>
      <c r="MD6" s="746"/>
      <c r="ME6" s="221" t="str">
        <f>'Adj List'!A26</f>
        <v>UPDATE DEPR RATES</v>
      </c>
      <c r="MF6" s="222"/>
      <c r="MG6" s="222"/>
      <c r="MH6" s="222"/>
      <c r="MI6" s="222"/>
      <c r="MJ6" s="222"/>
      <c r="MK6" s="222"/>
      <c r="ML6" s="222"/>
      <c r="MM6" s="222"/>
      <c r="MN6" s="222"/>
      <c r="MO6" s="222"/>
      <c r="MP6" s="222"/>
      <c r="MQ6" s="222"/>
      <c r="MR6" s="222"/>
      <c r="MS6" s="746"/>
      <c r="MT6" s="746"/>
      <c r="MU6" s="746"/>
      <c r="MV6" s="746"/>
      <c r="MW6" s="222" t="str">
        <f>'Adj List'!A27</f>
        <v>WUTC FILING FEE</v>
      </c>
      <c r="MX6" s="221"/>
      <c r="MY6" s="221"/>
      <c r="MZ6" s="221"/>
      <c r="NA6" s="221"/>
      <c r="NB6" s="221"/>
      <c r="NC6" s="221"/>
      <c r="ND6" s="221"/>
      <c r="NE6" s="221"/>
      <c r="NF6" s="221"/>
      <c r="NG6" s="221"/>
      <c r="NH6" s="221"/>
      <c r="NI6" s="221"/>
      <c r="NJ6" s="221"/>
      <c r="NK6" s="744"/>
      <c r="NL6" s="744"/>
      <c r="NM6" s="744"/>
      <c r="NN6" s="744"/>
      <c r="NO6" s="221" t="str">
        <f>'Adj List'!A28</f>
        <v>PRO FORMA O&amp;M</v>
      </c>
      <c r="NP6" s="222"/>
      <c r="NQ6" s="222"/>
      <c r="NR6" s="222"/>
      <c r="NS6" s="222"/>
      <c r="NT6" s="222"/>
      <c r="NU6" s="222"/>
      <c r="NV6" s="222"/>
      <c r="NW6" s="222"/>
      <c r="NX6" s="222"/>
      <c r="NY6" s="222"/>
      <c r="NZ6" s="222"/>
      <c r="OA6" s="222"/>
      <c r="OB6" s="222"/>
      <c r="OC6" s="746"/>
      <c r="OD6" s="746"/>
      <c r="OE6" s="746"/>
      <c r="OF6" s="746"/>
      <c r="OG6" s="222" t="str">
        <f>'Adj List'!A29</f>
        <v>REMOVE AMR PLANT AND DEPRECIATION</v>
      </c>
      <c r="OH6" s="222"/>
      <c r="OI6" s="222"/>
      <c r="OJ6" s="222"/>
      <c r="OK6" s="222"/>
      <c r="OL6" s="222"/>
      <c r="OM6" s="222"/>
      <c r="ON6" s="222"/>
      <c r="OO6" s="222"/>
      <c r="OP6" s="222"/>
      <c r="OQ6" s="222"/>
      <c r="OR6" s="222"/>
      <c r="OS6" s="222"/>
      <c r="OT6" s="222"/>
      <c r="OU6" s="746"/>
      <c r="OV6" s="746"/>
      <c r="OW6" s="746"/>
      <c r="OX6" s="746"/>
      <c r="OY6" s="222" t="str">
        <f>'Adj List'!A30</f>
        <v>AMI PLANT AND DEFERRAL</v>
      </c>
      <c r="OZ6" s="222"/>
      <c r="PA6" s="222"/>
      <c r="PB6" s="222"/>
      <c r="PC6" s="222"/>
      <c r="PD6" s="222"/>
      <c r="PE6" s="222"/>
      <c r="PF6" s="222"/>
      <c r="PG6" s="222"/>
      <c r="PH6" s="222"/>
      <c r="PI6" s="671"/>
      <c r="PJ6" s="671"/>
      <c r="PK6" s="671"/>
      <c r="PL6" s="671"/>
      <c r="PM6" s="748"/>
      <c r="PN6" s="748"/>
      <c r="PO6" s="746"/>
      <c r="PP6" s="746"/>
      <c r="PQ6" s="222" t="str">
        <f>'Adj List'!A31</f>
        <v>ENVIRONMENTAL REMEDIATION</v>
      </c>
      <c r="PR6" s="222"/>
      <c r="PS6" s="222"/>
      <c r="PT6" s="222"/>
      <c r="PU6" s="222"/>
      <c r="PV6" s="222"/>
      <c r="PW6" s="222"/>
      <c r="PX6" s="222"/>
      <c r="PY6" s="222"/>
      <c r="PZ6" s="222"/>
      <c r="QA6" s="222"/>
      <c r="QB6" s="222"/>
      <c r="QC6" s="222"/>
      <c r="QD6" s="222"/>
      <c r="QE6" s="746"/>
      <c r="QF6" s="746"/>
      <c r="QG6" s="746"/>
      <c r="QH6" s="746"/>
      <c r="QI6" s="326"/>
      <c r="QJ6" s="327" t="str">
        <f>'Adj List'!A32</f>
        <v>ESTIMATED PLANT RETIREMENTS RATE BASE</v>
      </c>
      <c r="QK6" s="342"/>
      <c r="QL6" s="342"/>
      <c r="QM6" s="342"/>
      <c r="QN6" s="342"/>
      <c r="QO6" s="342"/>
      <c r="QP6" s="342"/>
      <c r="QQ6" s="342"/>
      <c r="QR6" s="342"/>
      <c r="QS6" s="342"/>
      <c r="QT6" s="342"/>
      <c r="QU6" s="342"/>
      <c r="QV6" s="342"/>
      <c r="QW6" s="342"/>
      <c r="QX6" s="750"/>
      <c r="QY6" s="750"/>
      <c r="QZ6" s="750"/>
      <c r="RA6" s="750"/>
      <c r="RB6" s="221" t="str">
        <f>'Adj List'!A33</f>
        <v>TEST YEAR PLANT ROLL FORWARD</v>
      </c>
      <c r="RC6" s="222"/>
      <c r="RD6" s="222"/>
      <c r="RE6" s="222"/>
      <c r="RF6" s="222"/>
      <c r="RG6" s="222"/>
      <c r="RH6" s="222"/>
      <c r="RI6" s="222"/>
      <c r="RJ6" s="222"/>
      <c r="RK6" s="222"/>
      <c r="RL6" s="222"/>
      <c r="RM6" s="222"/>
      <c r="RN6" s="222"/>
      <c r="RO6" s="222"/>
      <c r="RP6" s="746"/>
      <c r="RQ6" s="746"/>
      <c r="RR6" s="746"/>
      <c r="RS6" s="746"/>
      <c r="RT6" s="327" t="str">
        <f>'Adj List'!A34</f>
        <v>PROVISIONAL PROFORMA RETIREMENTS DEPRECIATION</v>
      </c>
      <c r="RU6" s="342"/>
      <c r="RV6" s="342"/>
      <c r="RW6" s="342"/>
      <c r="RX6" s="342"/>
      <c r="RY6" s="342"/>
      <c r="RZ6" s="342"/>
      <c r="SA6" s="342"/>
      <c r="SB6" s="342"/>
      <c r="SC6" s="342"/>
      <c r="SD6" s="342"/>
      <c r="SE6" s="342"/>
      <c r="SF6" s="342"/>
      <c r="SG6" s="342"/>
      <c r="SH6" s="750"/>
      <c r="SI6" s="750"/>
      <c r="SJ6" s="750"/>
      <c r="SK6" s="750"/>
      <c r="SL6" s="222" t="s">
        <v>1277</v>
      </c>
      <c r="SM6" s="326"/>
      <c r="SN6" s="326"/>
      <c r="SO6" s="326"/>
      <c r="SP6" s="326"/>
      <c r="SQ6" s="326"/>
      <c r="SR6" s="326"/>
      <c r="SS6" s="326"/>
      <c r="ST6" s="326"/>
      <c r="SU6" s="326"/>
      <c r="SV6" s="326"/>
      <c r="SW6" s="326"/>
      <c r="SX6" s="326"/>
      <c r="SY6" s="326"/>
      <c r="SZ6" s="737"/>
      <c r="TA6" s="737"/>
      <c r="TB6" s="737"/>
      <c r="TC6" s="737"/>
      <c r="TD6" s="670"/>
      <c r="TE6" s="327" t="str">
        <f>'Adj List'!A41</f>
        <v>PARTICIPATORY FUNDING GRANTS</v>
      </c>
      <c r="TF6" s="342"/>
      <c r="TG6" s="342"/>
      <c r="TH6" s="342"/>
      <c r="TI6" s="342"/>
      <c r="TJ6" s="342"/>
      <c r="TK6" s="342"/>
      <c r="TL6" s="342"/>
      <c r="TM6" s="342"/>
      <c r="TN6" s="342"/>
      <c r="TO6" s="342"/>
      <c r="TP6" s="342"/>
      <c r="TQ6" s="342"/>
      <c r="TR6" s="342"/>
      <c r="TS6" s="750"/>
      <c r="TT6" s="750"/>
      <c r="TU6" s="750"/>
      <c r="TV6" s="750"/>
      <c r="TW6" s="669"/>
      <c r="TX6" s="327" t="str">
        <f>'Adj List'!A39</f>
        <v>REMOVE TEST YEAR DEFERRALS</v>
      </c>
      <c r="TY6" s="342"/>
      <c r="TZ6" s="342"/>
      <c r="UA6" s="342"/>
      <c r="UB6" s="342"/>
      <c r="UC6" s="342"/>
      <c r="UD6" s="342"/>
      <c r="UE6" s="342"/>
      <c r="UF6" s="342"/>
      <c r="UG6" s="342"/>
      <c r="UH6" s="342"/>
      <c r="UI6" s="342"/>
      <c r="UJ6" s="342"/>
      <c r="UK6" s="342"/>
      <c r="UL6" s="750"/>
      <c r="UM6" s="750"/>
      <c r="UN6" s="750"/>
      <c r="UO6" s="750"/>
      <c r="UQ6" s="327" t="str">
        <f>'Adj List'!A40</f>
        <v>REGULATORY FILING FEE DEFERRAL</v>
      </c>
      <c r="UR6" s="342"/>
      <c r="US6" s="342"/>
      <c r="UT6" s="342"/>
      <c r="UU6" s="342"/>
      <c r="UV6" s="342"/>
      <c r="UW6" s="342"/>
      <c r="UX6" s="342"/>
      <c r="UY6" s="342"/>
      <c r="UZ6" s="342"/>
      <c r="VA6" s="342"/>
      <c r="VB6" s="342"/>
      <c r="VC6" s="342"/>
      <c r="VD6" s="342"/>
      <c r="VE6" s="750"/>
      <c r="VF6" s="750"/>
      <c r="VG6" s="750"/>
      <c r="VH6" s="750"/>
      <c r="VJ6" s="327" t="str">
        <f>'Adj List'!A42</f>
        <v>TARGETED ELECTRIFICATION ACTIVITIES DEFERRAL AMORTIZATION</v>
      </c>
      <c r="VK6" s="342"/>
      <c r="VL6" s="342"/>
      <c r="VM6" s="342"/>
      <c r="VN6" s="342"/>
      <c r="VO6" s="342"/>
      <c r="VP6" s="342"/>
      <c r="VQ6" s="342"/>
      <c r="VR6" s="342"/>
      <c r="VS6" s="342"/>
      <c r="VT6" s="342"/>
      <c r="VU6" s="342"/>
      <c r="VV6" s="342"/>
      <c r="VW6" s="342"/>
      <c r="VY6" s="327" t="str">
        <f>'Adj List'!A43</f>
        <v>LTIP</v>
      </c>
      <c r="VZ6" s="342"/>
      <c r="WA6" s="342"/>
      <c r="WB6" s="342"/>
      <c r="WC6" s="342"/>
      <c r="WD6" s="342"/>
      <c r="WE6" s="342"/>
      <c r="WF6" s="342"/>
      <c r="WG6" s="342"/>
      <c r="WH6" s="342"/>
      <c r="WI6" s="342"/>
      <c r="WJ6" s="342"/>
      <c r="WK6" s="342"/>
      <c r="WL6" s="342"/>
    </row>
    <row r="7" spans="1:610" s="3" customFormat="1" x14ac:dyDescent="0.35">
      <c r="A7" s="126" t="str">
        <f>TestYear</f>
        <v>12 MONTHS ENDED JUNE 30, 2023</v>
      </c>
      <c r="B7" s="126"/>
      <c r="C7" s="126"/>
      <c r="D7" s="126"/>
      <c r="E7" s="126"/>
      <c r="F7" s="126"/>
      <c r="G7" s="126"/>
      <c r="H7" s="126"/>
      <c r="I7" s="126"/>
      <c r="J7" s="126"/>
      <c r="K7" s="126"/>
      <c r="L7" s="126"/>
      <c r="M7" s="126"/>
      <c r="N7" s="126"/>
      <c r="O7" s="149"/>
      <c r="P7" s="149"/>
      <c r="Q7" s="149"/>
      <c r="R7" s="149"/>
      <c r="S7" s="126" t="str">
        <f>TestYear</f>
        <v>12 MONTHS ENDED JUNE 30, 2023</v>
      </c>
      <c r="T7" s="126"/>
      <c r="U7" s="126"/>
      <c r="V7" s="126"/>
      <c r="W7" s="126"/>
      <c r="X7" s="126"/>
      <c r="Y7" s="126"/>
      <c r="Z7" s="126"/>
      <c r="AA7" s="126"/>
      <c r="AB7" s="126"/>
      <c r="AC7" s="126"/>
      <c r="AD7" s="126"/>
      <c r="AE7" s="126"/>
      <c r="AF7" s="126"/>
      <c r="AG7" s="149"/>
      <c r="AH7" s="149"/>
      <c r="AI7" s="149"/>
      <c r="AJ7" s="149"/>
      <c r="AK7" s="126" t="str">
        <f>TestYear</f>
        <v>12 MONTHS ENDED JUNE 30, 2023</v>
      </c>
      <c r="AL7" s="126"/>
      <c r="AM7" s="126"/>
      <c r="AN7" s="126"/>
      <c r="AO7" s="126"/>
      <c r="AP7" s="126"/>
      <c r="AQ7" s="126"/>
      <c r="AR7" s="126"/>
      <c r="AS7" s="126"/>
      <c r="AT7" s="126"/>
      <c r="AU7" s="126"/>
      <c r="AV7" s="126"/>
      <c r="AW7" s="126"/>
      <c r="AX7" s="126"/>
      <c r="AY7" s="149"/>
      <c r="AZ7" s="149"/>
      <c r="BA7" s="149"/>
      <c r="BB7" s="149"/>
      <c r="BC7" s="126" t="str">
        <f>TestYear</f>
        <v>12 MONTHS ENDED JUNE 30, 2023</v>
      </c>
      <c r="BD7" s="126"/>
      <c r="BE7" s="126"/>
      <c r="BF7" s="126"/>
      <c r="BG7" s="126"/>
      <c r="BH7" s="126"/>
      <c r="BI7" s="126"/>
      <c r="BJ7" s="126"/>
      <c r="BK7" s="126"/>
      <c r="BL7" s="126"/>
      <c r="BM7" s="126"/>
      <c r="BN7" s="126"/>
      <c r="BO7" s="126"/>
      <c r="BP7" s="126"/>
      <c r="BQ7" s="149"/>
      <c r="BR7" s="149"/>
      <c r="BS7" s="149"/>
      <c r="BT7" s="149"/>
      <c r="BU7" s="126" t="str">
        <f>TestYear</f>
        <v>12 MONTHS ENDED JUNE 30, 2023</v>
      </c>
      <c r="BV7" s="126"/>
      <c r="BW7" s="126"/>
      <c r="BX7" s="126"/>
      <c r="BY7" s="126"/>
      <c r="BZ7" s="126"/>
      <c r="CA7" s="126"/>
      <c r="CB7" s="126"/>
      <c r="CC7" s="126"/>
      <c r="CD7" s="126"/>
      <c r="CE7" s="126"/>
      <c r="CF7" s="126"/>
      <c r="CG7" s="126"/>
      <c r="CH7" s="126"/>
      <c r="CI7" s="149"/>
      <c r="CJ7" s="149"/>
      <c r="CK7" s="149"/>
      <c r="CL7" s="149"/>
      <c r="CM7" s="126" t="str">
        <f>TestYear</f>
        <v>12 MONTHS ENDED JUNE 30, 2023</v>
      </c>
      <c r="CN7" s="126"/>
      <c r="CO7" s="126"/>
      <c r="CP7" s="126"/>
      <c r="CQ7" s="126"/>
      <c r="CR7" s="126"/>
      <c r="CS7" s="126"/>
      <c r="CT7" s="126"/>
      <c r="CU7" s="126"/>
      <c r="CV7" s="126"/>
      <c r="CW7" s="126"/>
      <c r="CX7" s="126"/>
      <c r="CY7" s="126"/>
      <c r="CZ7" s="126"/>
      <c r="DA7" s="149"/>
      <c r="DB7" s="149"/>
      <c r="DC7" s="149"/>
      <c r="DD7" s="149"/>
      <c r="DE7" s="126" t="str">
        <f>TestYear</f>
        <v>12 MONTHS ENDED JUNE 30, 2023</v>
      </c>
      <c r="DF7" s="126"/>
      <c r="DG7" s="126"/>
      <c r="DH7" s="126"/>
      <c r="DI7" s="126"/>
      <c r="DJ7" s="126"/>
      <c r="DK7" s="126"/>
      <c r="DL7" s="126"/>
      <c r="DM7" s="126"/>
      <c r="DN7" s="126"/>
      <c r="DO7" s="126"/>
      <c r="DP7" s="126"/>
      <c r="DQ7" s="126"/>
      <c r="DR7" s="126"/>
      <c r="DS7" s="149"/>
      <c r="DT7" s="149"/>
      <c r="DU7" s="149"/>
      <c r="DV7" s="149"/>
      <c r="DW7" s="126" t="str">
        <f>TestYear</f>
        <v>12 MONTHS ENDED JUNE 30, 2023</v>
      </c>
      <c r="DX7" s="126"/>
      <c r="DY7" s="126"/>
      <c r="DZ7" s="126"/>
      <c r="EA7" s="126"/>
      <c r="EB7" s="126"/>
      <c r="EC7" s="126"/>
      <c r="ED7" s="126"/>
      <c r="EE7" s="126"/>
      <c r="EF7" s="126"/>
      <c r="EG7" s="126"/>
      <c r="EH7" s="126"/>
      <c r="EI7" s="126"/>
      <c r="EJ7" s="126"/>
      <c r="EK7" s="149"/>
      <c r="EL7" s="149"/>
      <c r="EM7" s="149"/>
      <c r="EN7" s="149"/>
      <c r="EO7" s="126" t="str">
        <f>TestYear</f>
        <v>12 MONTHS ENDED JUNE 30, 2023</v>
      </c>
      <c r="EP7" s="126"/>
      <c r="EQ7" s="126"/>
      <c r="ER7" s="126"/>
      <c r="ES7" s="126"/>
      <c r="ET7" s="126"/>
      <c r="EU7" s="126"/>
      <c r="EV7" s="126"/>
      <c r="EW7" s="126"/>
      <c r="EX7" s="126"/>
      <c r="EY7" s="126"/>
      <c r="EZ7" s="126"/>
      <c r="FA7" s="126"/>
      <c r="FB7" s="126"/>
      <c r="FC7" s="149"/>
      <c r="FD7" s="149"/>
      <c r="FE7" s="149"/>
      <c r="FF7" s="149"/>
      <c r="FG7" s="126" t="str">
        <f>TestYear</f>
        <v>12 MONTHS ENDED JUNE 30, 2023</v>
      </c>
      <c r="FH7" s="126"/>
      <c r="FI7" s="126"/>
      <c r="FJ7" s="126"/>
      <c r="FK7" s="126"/>
      <c r="FL7" s="126"/>
      <c r="FM7" s="126"/>
      <c r="FN7" s="126"/>
      <c r="FO7" s="126"/>
      <c r="FP7" s="126"/>
      <c r="FQ7" s="126"/>
      <c r="FR7" s="126"/>
      <c r="FS7" s="126"/>
      <c r="FT7" s="126"/>
      <c r="FU7" s="149"/>
      <c r="FV7" s="149"/>
      <c r="FW7" s="149"/>
      <c r="FX7" s="149"/>
      <c r="FY7" s="126" t="str">
        <f>TestYear</f>
        <v>12 MONTHS ENDED JUNE 30, 2023</v>
      </c>
      <c r="FZ7" s="126"/>
      <c r="GA7" s="126"/>
      <c r="GB7" s="126"/>
      <c r="GC7" s="126"/>
      <c r="GD7" s="126"/>
      <c r="GE7" s="126"/>
      <c r="GF7" s="126"/>
      <c r="GG7" s="126"/>
      <c r="GH7" s="126"/>
      <c r="GI7" s="126"/>
      <c r="GJ7" s="126"/>
      <c r="GK7" s="126"/>
      <c r="GL7" s="126"/>
      <c r="GM7" s="149"/>
      <c r="GN7" s="149"/>
      <c r="GO7" s="149"/>
      <c r="GP7" s="149"/>
      <c r="GQ7" s="126" t="str">
        <f>TestYear</f>
        <v>12 MONTHS ENDED JUNE 30, 2023</v>
      </c>
      <c r="GR7" s="126"/>
      <c r="GS7" s="126"/>
      <c r="GT7" s="126"/>
      <c r="GU7" s="126"/>
      <c r="GV7" s="126"/>
      <c r="GW7" s="126"/>
      <c r="GX7" s="126"/>
      <c r="GY7" s="126"/>
      <c r="GZ7" s="126"/>
      <c r="HA7" s="126"/>
      <c r="HB7" s="126"/>
      <c r="HC7" s="126"/>
      <c r="HD7" s="126"/>
      <c r="HE7" s="149"/>
      <c r="HF7" s="149"/>
      <c r="HG7" s="149"/>
      <c r="HH7" s="149"/>
      <c r="HI7" s="126" t="str">
        <f>TestYear</f>
        <v>12 MONTHS ENDED JUNE 30, 2023</v>
      </c>
      <c r="HJ7" s="126"/>
      <c r="HK7" s="126"/>
      <c r="HL7" s="126"/>
      <c r="HM7" s="126"/>
      <c r="HN7" s="126"/>
      <c r="HO7" s="126"/>
      <c r="HP7" s="126"/>
      <c r="HQ7" s="126"/>
      <c r="HR7" s="126"/>
      <c r="HS7" s="126"/>
      <c r="HT7" s="126"/>
      <c r="HU7" s="126"/>
      <c r="HV7" s="126"/>
      <c r="HW7" s="149"/>
      <c r="HX7" s="149"/>
      <c r="HY7" s="149"/>
      <c r="HZ7" s="149"/>
      <c r="IA7" s="126" t="str">
        <f>TestYear</f>
        <v>12 MONTHS ENDED JUNE 30, 2023</v>
      </c>
      <c r="IB7" s="126"/>
      <c r="IC7" s="126"/>
      <c r="ID7" s="126"/>
      <c r="IE7" s="126"/>
      <c r="IF7" s="126"/>
      <c r="IG7" s="126"/>
      <c r="IH7" s="126"/>
      <c r="II7" s="126"/>
      <c r="IJ7" s="126"/>
      <c r="IK7" s="126"/>
      <c r="IL7" s="126"/>
      <c r="IM7" s="126"/>
      <c r="IN7" s="126"/>
      <c r="IO7" s="149"/>
      <c r="IP7" s="149"/>
      <c r="IQ7" s="149"/>
      <c r="IR7" s="149"/>
      <c r="IS7" s="126" t="str">
        <f>TestYear</f>
        <v>12 MONTHS ENDED JUNE 30, 2023</v>
      </c>
      <c r="IT7" s="126"/>
      <c r="IU7" s="126"/>
      <c r="IV7" s="126"/>
      <c r="IW7" s="126"/>
      <c r="IX7" s="126"/>
      <c r="IY7" s="126"/>
      <c r="IZ7" s="126"/>
      <c r="JA7" s="126"/>
      <c r="JB7" s="126"/>
      <c r="JC7" s="126"/>
      <c r="JD7" s="126"/>
      <c r="JE7" s="126"/>
      <c r="JF7" s="126"/>
      <c r="JG7" s="149"/>
      <c r="JH7" s="149"/>
      <c r="JI7" s="149"/>
      <c r="JJ7" s="149"/>
      <c r="JK7" s="126" t="str">
        <f>TestYear</f>
        <v>12 MONTHS ENDED JUNE 30, 2023</v>
      </c>
      <c r="JL7" s="126"/>
      <c r="JM7" s="126"/>
      <c r="JN7" s="126"/>
      <c r="JO7" s="126"/>
      <c r="JP7" s="126"/>
      <c r="JQ7" s="126"/>
      <c r="JR7" s="126"/>
      <c r="JS7" s="126"/>
      <c r="JT7" s="126"/>
      <c r="JU7" s="126"/>
      <c r="JV7" s="126"/>
      <c r="JW7" s="126"/>
      <c r="JX7" s="126"/>
      <c r="JY7" s="149"/>
      <c r="JZ7" s="149"/>
      <c r="KA7" s="149"/>
      <c r="KB7" s="149"/>
      <c r="KC7" s="126" t="str">
        <f>TestYear</f>
        <v>12 MONTHS ENDED JUNE 30, 2023</v>
      </c>
      <c r="KD7" s="126"/>
      <c r="KE7" s="126"/>
      <c r="KF7" s="126"/>
      <c r="KG7" s="126"/>
      <c r="KH7" s="126"/>
      <c r="KI7" s="126"/>
      <c r="KJ7" s="126"/>
      <c r="KK7" s="126"/>
      <c r="KL7" s="126"/>
      <c r="KM7" s="126"/>
      <c r="KN7" s="126"/>
      <c r="KO7" s="126"/>
      <c r="KP7" s="126"/>
      <c r="KQ7" s="149"/>
      <c r="KR7" s="149"/>
      <c r="KS7" s="149"/>
      <c r="KT7" s="149"/>
      <c r="KU7" s="126" t="str">
        <f>TestYear</f>
        <v>12 MONTHS ENDED JUNE 30, 2023</v>
      </c>
      <c r="KV7" s="126"/>
      <c r="KW7" s="126"/>
      <c r="KX7" s="126"/>
      <c r="KY7" s="126"/>
      <c r="KZ7" s="126"/>
      <c r="LA7" s="126"/>
      <c r="LB7" s="126"/>
      <c r="LC7" s="126"/>
      <c r="LD7" s="126"/>
      <c r="LE7" s="126"/>
      <c r="LF7" s="126"/>
      <c r="LG7" s="126"/>
      <c r="LH7" s="126"/>
      <c r="LI7" s="149"/>
      <c r="LJ7" s="149"/>
      <c r="LK7" s="149"/>
      <c r="LL7" s="149"/>
      <c r="LM7" s="126" t="str">
        <f>TestYear</f>
        <v>12 MONTHS ENDED JUNE 30, 2023</v>
      </c>
      <c r="LN7" s="126"/>
      <c r="LO7" s="126"/>
      <c r="LP7" s="126"/>
      <c r="LQ7" s="126"/>
      <c r="LR7" s="126"/>
      <c r="LS7" s="126"/>
      <c r="LT7" s="126"/>
      <c r="LU7" s="126"/>
      <c r="LV7" s="126"/>
      <c r="LW7" s="126"/>
      <c r="LX7" s="126"/>
      <c r="LY7" s="126"/>
      <c r="LZ7" s="126"/>
      <c r="MA7" s="149"/>
      <c r="MB7" s="149"/>
      <c r="MC7" s="149"/>
      <c r="MD7" s="149"/>
      <c r="ME7" s="126" t="str">
        <f>TestYear</f>
        <v>12 MONTHS ENDED JUNE 30, 2023</v>
      </c>
      <c r="MF7" s="126"/>
      <c r="MG7" s="126"/>
      <c r="MH7" s="126"/>
      <c r="MI7" s="126"/>
      <c r="MJ7" s="126"/>
      <c r="MK7" s="126"/>
      <c r="ML7" s="126"/>
      <c r="MM7" s="126"/>
      <c r="MN7" s="126"/>
      <c r="MO7" s="126"/>
      <c r="MP7" s="126"/>
      <c r="MQ7" s="126"/>
      <c r="MR7" s="126"/>
      <c r="MS7" s="149"/>
      <c r="MT7" s="149"/>
      <c r="MU7" s="149"/>
      <c r="MV7" s="149"/>
      <c r="MW7" s="126" t="str">
        <f>TestYear</f>
        <v>12 MONTHS ENDED JUNE 30, 2023</v>
      </c>
      <c r="MX7" s="126"/>
      <c r="MY7" s="126"/>
      <c r="MZ7" s="126"/>
      <c r="NA7" s="126"/>
      <c r="NB7" s="126"/>
      <c r="NC7" s="126"/>
      <c r="ND7" s="126"/>
      <c r="NE7" s="126"/>
      <c r="NF7" s="126"/>
      <c r="NG7" s="126"/>
      <c r="NH7" s="126"/>
      <c r="NI7" s="126"/>
      <c r="NJ7" s="126"/>
      <c r="NK7" s="149"/>
      <c r="NL7" s="149"/>
      <c r="NM7" s="149"/>
      <c r="NN7" s="149"/>
      <c r="NO7" s="126" t="str">
        <f>TestYear</f>
        <v>12 MONTHS ENDED JUNE 30, 2023</v>
      </c>
      <c r="NP7" s="126"/>
      <c r="NQ7" s="126"/>
      <c r="NR7" s="126"/>
      <c r="NS7" s="126"/>
      <c r="NT7" s="126"/>
      <c r="NU7" s="126"/>
      <c r="NV7" s="126"/>
      <c r="NW7" s="126"/>
      <c r="NX7" s="126"/>
      <c r="NY7" s="126"/>
      <c r="NZ7" s="126"/>
      <c r="OA7" s="126"/>
      <c r="OB7" s="126"/>
      <c r="OC7" s="149"/>
      <c r="OD7" s="149"/>
      <c r="OE7" s="149"/>
      <c r="OF7" s="149"/>
      <c r="OG7" s="126" t="str">
        <f>TestYear</f>
        <v>12 MONTHS ENDED JUNE 30, 2023</v>
      </c>
      <c r="OH7" s="126"/>
      <c r="OI7" s="126"/>
      <c r="OJ7" s="126"/>
      <c r="OK7" s="126"/>
      <c r="OL7" s="126"/>
      <c r="OM7" s="126"/>
      <c r="ON7" s="126"/>
      <c r="OO7" s="126"/>
      <c r="OP7" s="126"/>
      <c r="OQ7" s="126"/>
      <c r="OR7" s="126"/>
      <c r="OS7" s="126"/>
      <c r="OT7" s="126"/>
      <c r="OU7" s="149"/>
      <c r="OV7" s="149"/>
      <c r="OW7" s="149"/>
      <c r="OX7" s="149"/>
      <c r="OY7" s="126" t="str">
        <f>TestYear</f>
        <v>12 MONTHS ENDED JUNE 30, 2023</v>
      </c>
      <c r="OZ7" s="126"/>
      <c r="PA7" s="126"/>
      <c r="PB7" s="126"/>
      <c r="PC7" s="126"/>
      <c r="PD7" s="126"/>
      <c r="PE7" s="126"/>
      <c r="PF7" s="126"/>
      <c r="PG7" s="126"/>
      <c r="PH7" s="126"/>
      <c r="PI7" s="668"/>
      <c r="PJ7" s="668"/>
      <c r="PK7" s="668"/>
      <c r="PL7" s="668"/>
      <c r="PM7" s="747"/>
      <c r="PN7" s="747"/>
      <c r="PO7" s="149"/>
      <c r="PP7" s="149"/>
      <c r="PQ7" s="126" t="str">
        <f>TestYear</f>
        <v>12 MONTHS ENDED JUNE 30, 2023</v>
      </c>
      <c r="PR7" s="126"/>
      <c r="PS7" s="126"/>
      <c r="PT7" s="126"/>
      <c r="PU7" s="126"/>
      <c r="PV7" s="126"/>
      <c r="PW7" s="126"/>
      <c r="PX7" s="126"/>
      <c r="PY7" s="126"/>
      <c r="PZ7" s="126"/>
      <c r="QA7" s="126"/>
      <c r="QB7" s="126"/>
      <c r="QC7" s="126"/>
      <c r="QD7" s="126"/>
      <c r="QE7" s="149"/>
      <c r="QF7" s="149"/>
      <c r="QG7" s="149"/>
      <c r="QH7" s="149"/>
      <c r="QI7" s="326"/>
      <c r="QJ7" s="325" t="str">
        <f>TestYear</f>
        <v>12 MONTHS ENDED JUNE 30, 2023</v>
      </c>
      <c r="QK7" s="325"/>
      <c r="QL7" s="325"/>
      <c r="QM7" s="325"/>
      <c r="QN7" s="325"/>
      <c r="QO7" s="325"/>
      <c r="QP7" s="325"/>
      <c r="QQ7" s="325"/>
      <c r="QR7" s="325"/>
      <c r="QS7" s="325"/>
      <c r="QT7" s="325"/>
      <c r="QU7" s="325"/>
      <c r="QV7" s="325"/>
      <c r="QW7" s="325"/>
      <c r="QX7" s="442"/>
      <c r="QY7" s="442"/>
      <c r="QZ7" s="442"/>
      <c r="RA7" s="442"/>
      <c r="RB7" s="126" t="str">
        <f>TestYear</f>
        <v>12 MONTHS ENDED JUNE 30, 2023</v>
      </c>
      <c r="RC7" s="126"/>
      <c r="RD7" s="126"/>
      <c r="RE7" s="126"/>
      <c r="RF7" s="126"/>
      <c r="RG7" s="126"/>
      <c r="RH7" s="126"/>
      <c r="RI7" s="126"/>
      <c r="RJ7" s="126"/>
      <c r="RK7" s="126"/>
      <c r="RL7" s="126"/>
      <c r="RM7" s="126"/>
      <c r="RN7" s="126"/>
      <c r="RO7" s="126"/>
      <c r="RP7" s="149"/>
      <c r="RQ7" s="149"/>
      <c r="RR7" s="149"/>
      <c r="RS7" s="149"/>
      <c r="RT7" s="325" t="str">
        <f>TestYear</f>
        <v>12 MONTHS ENDED JUNE 30, 2023</v>
      </c>
      <c r="RU7" s="325"/>
      <c r="RV7" s="325"/>
      <c r="RW7" s="325"/>
      <c r="RX7" s="325"/>
      <c r="RY7" s="325"/>
      <c r="RZ7" s="325"/>
      <c r="SA7" s="325"/>
      <c r="SB7" s="325"/>
      <c r="SC7" s="325"/>
      <c r="SD7" s="325"/>
      <c r="SE7" s="325"/>
      <c r="SF7" s="325"/>
      <c r="SG7" s="325"/>
      <c r="SH7" s="442"/>
      <c r="SI7" s="442"/>
      <c r="SJ7" s="442"/>
      <c r="SK7" s="442"/>
      <c r="SL7" s="325" t="str">
        <f>TestYear</f>
        <v>12 MONTHS ENDED JUNE 30, 2023</v>
      </c>
      <c r="SM7" s="326"/>
      <c r="SN7" s="326"/>
      <c r="SO7" s="326"/>
      <c r="SP7" s="326"/>
      <c r="SQ7" s="326"/>
      <c r="SR7" s="326"/>
      <c r="SS7" s="326"/>
      <c r="ST7" s="326"/>
      <c r="SU7" s="326"/>
      <c r="SV7" s="326"/>
      <c r="SW7" s="326"/>
      <c r="SX7" s="326"/>
      <c r="SY7" s="326"/>
      <c r="SZ7" s="737"/>
      <c r="TA7" s="737"/>
      <c r="TB7" s="737"/>
      <c r="TC7" s="737"/>
      <c r="TD7"/>
      <c r="TE7" s="325" t="str">
        <f>TestYear</f>
        <v>12 MONTHS ENDED JUNE 30, 2023</v>
      </c>
      <c r="TF7" s="325"/>
      <c r="TG7" s="325"/>
      <c r="TH7" s="325"/>
      <c r="TI7" s="325"/>
      <c r="TJ7" s="325"/>
      <c r="TK7" s="325"/>
      <c r="TL7" s="325"/>
      <c r="TM7" s="325"/>
      <c r="TN7" s="325"/>
      <c r="TO7" s="325"/>
      <c r="TP7" s="325"/>
      <c r="TQ7" s="325"/>
      <c r="TR7" s="325"/>
      <c r="TS7" s="442"/>
      <c r="TT7" s="442"/>
      <c r="TU7" s="442"/>
      <c r="TV7" s="442"/>
      <c r="TW7"/>
      <c r="TX7" s="325" t="str">
        <f>TestYear</f>
        <v>12 MONTHS ENDED JUNE 30, 2023</v>
      </c>
      <c r="TY7" s="325"/>
      <c r="TZ7" s="325"/>
      <c r="UA7" s="325"/>
      <c r="UB7" s="325"/>
      <c r="UC7" s="325"/>
      <c r="UD7" s="325"/>
      <c r="UE7" s="325"/>
      <c r="UF7" s="325"/>
      <c r="UG7" s="325"/>
      <c r="UH7" s="325"/>
      <c r="UI7" s="325"/>
      <c r="UJ7" s="325"/>
      <c r="UK7" s="325"/>
      <c r="UL7" s="442"/>
      <c r="UM7" s="442"/>
      <c r="UN7" s="442"/>
      <c r="UO7" s="442"/>
      <c r="UQ7" s="325" t="str">
        <f>TestYear</f>
        <v>12 MONTHS ENDED JUNE 30, 2023</v>
      </c>
      <c r="UR7" s="325"/>
      <c r="US7" s="325"/>
      <c r="UT7" s="325"/>
      <c r="UU7" s="325"/>
      <c r="UV7" s="325"/>
      <c r="UW7" s="325"/>
      <c r="UX7" s="325"/>
      <c r="UY7" s="325"/>
      <c r="UZ7" s="325"/>
      <c r="VA7" s="325"/>
      <c r="VB7" s="325"/>
      <c r="VC7" s="325"/>
      <c r="VD7" s="325"/>
      <c r="VE7" s="442"/>
      <c r="VF7" s="442"/>
      <c r="VG7" s="442"/>
      <c r="VH7" s="442"/>
      <c r="VJ7" s="325" t="str">
        <f>TestYear</f>
        <v>12 MONTHS ENDED JUNE 30, 2023</v>
      </c>
      <c r="VK7" s="325"/>
      <c r="VL7" s="325"/>
      <c r="VM7" s="325"/>
      <c r="VN7" s="325"/>
      <c r="VO7" s="325"/>
      <c r="VP7" s="325"/>
      <c r="VQ7" s="325"/>
      <c r="VR7" s="325"/>
      <c r="VS7" s="325"/>
      <c r="VT7" s="325"/>
      <c r="VU7" s="325"/>
      <c r="VV7" s="325"/>
      <c r="VW7" s="325"/>
      <c r="VY7" s="325" t="str">
        <f>TestYear</f>
        <v>12 MONTHS ENDED JUNE 30, 2023</v>
      </c>
      <c r="VZ7" s="325"/>
      <c r="WA7" s="325"/>
      <c r="WB7" s="325"/>
      <c r="WC7" s="325"/>
      <c r="WD7" s="325"/>
      <c r="WE7" s="325"/>
      <c r="WF7" s="325"/>
      <c r="WG7" s="325"/>
      <c r="WH7" s="325"/>
      <c r="WI7" s="325"/>
      <c r="WJ7" s="325"/>
      <c r="WK7" s="325"/>
      <c r="WL7" s="325"/>
    </row>
    <row r="8" spans="1:610" s="662" customFormat="1" ht="31.5" customHeight="1" x14ac:dyDescent="0.35">
      <c r="A8" s="666" t="str">
        <f>RateCase</f>
        <v>2024 GENERAL RATE CASE</v>
      </c>
      <c r="B8" s="666"/>
      <c r="C8" s="666"/>
      <c r="D8" s="666"/>
      <c r="E8" s="666"/>
      <c r="F8" s="666"/>
      <c r="G8" s="666"/>
      <c r="H8" s="666"/>
      <c r="I8" s="666"/>
      <c r="J8" s="666"/>
      <c r="K8" s="666"/>
      <c r="L8" s="666"/>
      <c r="M8" s="666"/>
      <c r="N8" s="666"/>
      <c r="O8" s="198"/>
      <c r="P8" s="198"/>
      <c r="Q8" s="198"/>
      <c r="R8" s="198"/>
      <c r="S8" s="666" t="str">
        <f>RateCase</f>
        <v>2024 GENERAL RATE CASE</v>
      </c>
      <c r="T8" s="666"/>
      <c r="U8" s="666"/>
      <c r="V8" s="666"/>
      <c r="W8" s="666"/>
      <c r="X8" s="666"/>
      <c r="Y8" s="666"/>
      <c r="Z8" s="666"/>
      <c r="AA8" s="666"/>
      <c r="AB8" s="666"/>
      <c r="AC8" s="666"/>
      <c r="AD8" s="666"/>
      <c r="AE8" s="666"/>
      <c r="AF8" s="666"/>
      <c r="AG8" s="198"/>
      <c r="AH8" s="198"/>
      <c r="AI8" s="198"/>
      <c r="AJ8" s="198"/>
      <c r="AK8" s="666" t="str">
        <f>RateCase</f>
        <v>2024 GENERAL RATE CASE</v>
      </c>
      <c r="AL8" s="666"/>
      <c r="AM8" s="666"/>
      <c r="AN8" s="666"/>
      <c r="AO8" s="666"/>
      <c r="AP8" s="666"/>
      <c r="AQ8" s="666"/>
      <c r="AR8" s="666"/>
      <c r="AS8" s="666"/>
      <c r="AT8" s="666"/>
      <c r="AU8" s="666"/>
      <c r="AV8" s="666"/>
      <c r="AW8" s="666"/>
      <c r="AX8" s="666"/>
      <c r="AY8" s="198"/>
      <c r="AZ8" s="198"/>
      <c r="BA8" s="198"/>
      <c r="BB8" s="198"/>
      <c r="BC8" s="666" t="str">
        <f>RateCase</f>
        <v>2024 GENERAL RATE CASE</v>
      </c>
      <c r="BD8" s="666"/>
      <c r="BE8" s="666"/>
      <c r="BF8" s="666"/>
      <c r="BG8" s="666"/>
      <c r="BH8" s="666"/>
      <c r="BI8" s="666"/>
      <c r="BJ8" s="666"/>
      <c r="BK8" s="666"/>
      <c r="BL8" s="666"/>
      <c r="BM8" s="666"/>
      <c r="BN8" s="666"/>
      <c r="BO8" s="666"/>
      <c r="BP8" s="666"/>
      <c r="BQ8" s="198"/>
      <c r="BR8" s="198"/>
      <c r="BS8" s="198"/>
      <c r="BT8" s="198"/>
      <c r="BU8" s="666" t="str">
        <f>RateCase</f>
        <v>2024 GENERAL RATE CASE</v>
      </c>
      <c r="BV8" s="666"/>
      <c r="BW8" s="666"/>
      <c r="BX8" s="666"/>
      <c r="BY8" s="666"/>
      <c r="BZ8" s="666"/>
      <c r="CA8" s="666"/>
      <c r="CB8" s="666"/>
      <c r="CC8" s="666"/>
      <c r="CD8" s="666"/>
      <c r="CE8" s="666"/>
      <c r="CF8" s="666"/>
      <c r="CG8" s="666"/>
      <c r="CH8" s="666"/>
      <c r="CI8" s="198"/>
      <c r="CJ8" s="198"/>
      <c r="CK8" s="198"/>
      <c r="CL8" s="198"/>
      <c r="CM8" s="666" t="str">
        <f>RateCase</f>
        <v>2024 GENERAL RATE CASE</v>
      </c>
      <c r="CN8" s="666"/>
      <c r="CO8" s="666"/>
      <c r="CP8" s="666"/>
      <c r="CQ8" s="666"/>
      <c r="CR8" s="666"/>
      <c r="CS8" s="666"/>
      <c r="CT8" s="666"/>
      <c r="CU8" s="666"/>
      <c r="CV8" s="666"/>
      <c r="CW8" s="666"/>
      <c r="CX8" s="666"/>
      <c r="CY8" s="666"/>
      <c r="CZ8" s="666"/>
      <c r="DA8" s="198"/>
      <c r="DB8" s="198"/>
      <c r="DC8" s="198"/>
      <c r="DD8" s="198"/>
      <c r="DE8" s="666" t="str">
        <f>RateCase</f>
        <v>2024 GENERAL RATE CASE</v>
      </c>
      <c r="DF8" s="666"/>
      <c r="DG8" s="666"/>
      <c r="DH8" s="666"/>
      <c r="DI8" s="666"/>
      <c r="DJ8" s="666"/>
      <c r="DK8" s="666"/>
      <c r="DL8" s="666"/>
      <c r="DM8" s="666"/>
      <c r="DN8" s="666"/>
      <c r="DO8" s="666"/>
      <c r="DP8" s="666"/>
      <c r="DQ8" s="666"/>
      <c r="DR8" s="666"/>
      <c r="DS8" s="198"/>
      <c r="DT8" s="198"/>
      <c r="DU8" s="198"/>
      <c r="DV8" s="198"/>
      <c r="DW8" s="666" t="str">
        <f>RateCase</f>
        <v>2024 GENERAL RATE CASE</v>
      </c>
      <c r="DX8" s="666"/>
      <c r="DY8" s="666"/>
      <c r="DZ8" s="666"/>
      <c r="EA8" s="666"/>
      <c r="EB8" s="666"/>
      <c r="EC8" s="666"/>
      <c r="ED8" s="666"/>
      <c r="EE8" s="666"/>
      <c r="EF8" s="666"/>
      <c r="EG8" s="666"/>
      <c r="EH8" s="666"/>
      <c r="EI8" s="666"/>
      <c r="EJ8" s="666"/>
      <c r="EK8" s="198"/>
      <c r="EL8" s="198"/>
      <c r="EM8" s="198"/>
      <c r="EN8" s="198"/>
      <c r="EO8" s="666" t="str">
        <f>RateCase</f>
        <v>2024 GENERAL RATE CASE</v>
      </c>
      <c r="EP8" s="666"/>
      <c r="EQ8" s="666"/>
      <c r="ER8" s="666"/>
      <c r="ES8" s="666"/>
      <c r="ET8" s="666"/>
      <c r="EU8" s="666"/>
      <c r="EV8" s="666"/>
      <c r="EW8" s="666"/>
      <c r="EX8" s="666"/>
      <c r="EY8" s="666"/>
      <c r="EZ8" s="666"/>
      <c r="FA8" s="666"/>
      <c r="FB8" s="666"/>
      <c r="FC8" s="198"/>
      <c r="FD8" s="198"/>
      <c r="FE8" s="198"/>
      <c r="FF8" s="198"/>
      <c r="FG8" s="666" t="str">
        <f>RateCase</f>
        <v>2024 GENERAL RATE CASE</v>
      </c>
      <c r="FH8" s="666"/>
      <c r="FI8" s="666"/>
      <c r="FJ8" s="666"/>
      <c r="FK8" s="666"/>
      <c r="FL8" s="666"/>
      <c r="FM8" s="666"/>
      <c r="FN8" s="666"/>
      <c r="FO8" s="666"/>
      <c r="FP8" s="666"/>
      <c r="FQ8" s="666"/>
      <c r="FR8" s="666"/>
      <c r="FS8" s="666"/>
      <c r="FT8" s="666"/>
      <c r="FU8" s="198"/>
      <c r="FV8" s="198"/>
      <c r="FW8" s="198"/>
      <c r="FX8" s="198"/>
      <c r="FY8" s="666" t="str">
        <f>RateCase</f>
        <v>2024 GENERAL RATE CASE</v>
      </c>
      <c r="FZ8" s="666"/>
      <c r="GA8" s="666"/>
      <c r="GB8" s="666"/>
      <c r="GC8" s="666"/>
      <c r="GD8" s="666"/>
      <c r="GE8" s="666"/>
      <c r="GF8" s="666"/>
      <c r="GG8" s="666"/>
      <c r="GH8" s="666"/>
      <c r="GI8" s="666"/>
      <c r="GJ8" s="666"/>
      <c r="GK8" s="666"/>
      <c r="GL8" s="666"/>
      <c r="GM8" s="198"/>
      <c r="GN8" s="198"/>
      <c r="GO8" s="198"/>
      <c r="GP8" s="198"/>
      <c r="GQ8" s="666" t="str">
        <f>RateCase</f>
        <v>2024 GENERAL RATE CASE</v>
      </c>
      <c r="GR8" s="666"/>
      <c r="GS8" s="666"/>
      <c r="GT8" s="666"/>
      <c r="GU8" s="666"/>
      <c r="GV8" s="666"/>
      <c r="GW8" s="666"/>
      <c r="GX8" s="666"/>
      <c r="GY8" s="666"/>
      <c r="GZ8" s="666"/>
      <c r="HA8" s="666"/>
      <c r="HB8" s="666"/>
      <c r="HC8" s="666"/>
      <c r="HD8" s="666"/>
      <c r="HE8" s="198"/>
      <c r="HF8" s="198"/>
      <c r="HG8" s="198"/>
      <c r="HH8" s="198"/>
      <c r="HI8" s="666" t="str">
        <f>RateCase</f>
        <v>2024 GENERAL RATE CASE</v>
      </c>
      <c r="HJ8" s="666"/>
      <c r="HK8" s="666"/>
      <c r="HL8" s="666"/>
      <c r="HM8" s="666"/>
      <c r="HN8" s="666"/>
      <c r="HO8" s="666"/>
      <c r="HP8" s="666"/>
      <c r="HQ8" s="666"/>
      <c r="HR8" s="666"/>
      <c r="HS8" s="666"/>
      <c r="HT8" s="666"/>
      <c r="HU8" s="666"/>
      <c r="HV8" s="666"/>
      <c r="HW8" s="198"/>
      <c r="HX8" s="198"/>
      <c r="HY8" s="198"/>
      <c r="HZ8" s="198"/>
      <c r="IA8" s="666" t="str">
        <f>RateCase</f>
        <v>2024 GENERAL RATE CASE</v>
      </c>
      <c r="IB8" s="666"/>
      <c r="IC8" s="666"/>
      <c r="ID8" s="666"/>
      <c r="IE8" s="666"/>
      <c r="IF8" s="666"/>
      <c r="IG8" s="666"/>
      <c r="IH8" s="666"/>
      <c r="II8" s="666"/>
      <c r="IJ8" s="666"/>
      <c r="IK8" s="666"/>
      <c r="IL8" s="666"/>
      <c r="IM8" s="666"/>
      <c r="IN8" s="666"/>
      <c r="IO8" s="198"/>
      <c r="IP8" s="198"/>
      <c r="IQ8" s="198"/>
      <c r="IR8" s="198"/>
      <c r="IS8" s="666" t="str">
        <f>RateCase</f>
        <v>2024 GENERAL RATE CASE</v>
      </c>
      <c r="IT8" s="666"/>
      <c r="IU8" s="666"/>
      <c r="IV8" s="666"/>
      <c r="IW8" s="666"/>
      <c r="IX8" s="666"/>
      <c r="IY8" s="666"/>
      <c r="IZ8" s="666"/>
      <c r="JA8" s="666"/>
      <c r="JB8" s="666"/>
      <c r="JC8" s="666"/>
      <c r="JD8" s="666"/>
      <c r="JE8" s="666"/>
      <c r="JF8" s="666"/>
      <c r="JG8" s="198"/>
      <c r="JH8" s="198"/>
      <c r="JI8" s="198"/>
      <c r="JJ8" s="198"/>
      <c r="JK8" s="666" t="str">
        <f>RateCase</f>
        <v>2024 GENERAL RATE CASE</v>
      </c>
      <c r="JL8" s="666"/>
      <c r="JM8" s="666"/>
      <c r="JN8" s="666"/>
      <c r="JO8" s="666"/>
      <c r="JP8" s="666"/>
      <c r="JQ8" s="666"/>
      <c r="JR8" s="666"/>
      <c r="JS8" s="666"/>
      <c r="JT8" s="666"/>
      <c r="JU8" s="666"/>
      <c r="JV8" s="666"/>
      <c r="JW8" s="666"/>
      <c r="JX8" s="666"/>
      <c r="JY8" s="198"/>
      <c r="JZ8" s="198"/>
      <c r="KA8" s="198"/>
      <c r="KB8" s="198"/>
      <c r="KC8" s="666" t="str">
        <f>RateCase</f>
        <v>2024 GENERAL RATE CASE</v>
      </c>
      <c r="KD8" s="666"/>
      <c r="KE8" s="666"/>
      <c r="KF8" s="666"/>
      <c r="KG8" s="666"/>
      <c r="KH8" s="666"/>
      <c r="KI8" s="666"/>
      <c r="KJ8" s="666"/>
      <c r="KK8" s="666"/>
      <c r="KL8" s="666"/>
      <c r="KM8" s="666"/>
      <c r="KN8" s="666"/>
      <c r="KO8" s="666"/>
      <c r="KP8" s="666"/>
      <c r="KQ8" s="198"/>
      <c r="KR8" s="198"/>
      <c r="KS8" s="198"/>
      <c r="KT8" s="198"/>
      <c r="KU8" s="666" t="str">
        <f>RateCase</f>
        <v>2024 GENERAL RATE CASE</v>
      </c>
      <c r="KV8" s="666"/>
      <c r="KW8" s="666"/>
      <c r="KX8" s="666"/>
      <c r="KY8" s="666"/>
      <c r="KZ8" s="666"/>
      <c r="LA8" s="666"/>
      <c r="LB8" s="666"/>
      <c r="LC8" s="666"/>
      <c r="LD8" s="666"/>
      <c r="LE8" s="666"/>
      <c r="LF8" s="666"/>
      <c r="LG8" s="666"/>
      <c r="LH8" s="666"/>
      <c r="LI8" s="198"/>
      <c r="LJ8" s="198"/>
      <c r="LK8" s="198"/>
      <c r="LL8" s="198"/>
      <c r="LM8" s="666" t="str">
        <f>RateCase</f>
        <v>2024 GENERAL RATE CASE</v>
      </c>
      <c r="LN8" s="666"/>
      <c r="LO8" s="666"/>
      <c r="LP8" s="666"/>
      <c r="LQ8" s="666"/>
      <c r="LR8" s="666"/>
      <c r="LS8" s="666"/>
      <c r="LT8" s="666"/>
      <c r="LU8" s="666"/>
      <c r="LV8" s="666"/>
      <c r="LW8" s="666"/>
      <c r="LX8" s="666"/>
      <c r="LY8" s="666"/>
      <c r="LZ8" s="666"/>
      <c r="MA8" s="198"/>
      <c r="MB8" s="198"/>
      <c r="MC8" s="198"/>
      <c r="MD8" s="198"/>
      <c r="ME8" s="666" t="str">
        <f>RateCase</f>
        <v>2024 GENERAL RATE CASE</v>
      </c>
      <c r="MF8" s="666"/>
      <c r="MG8" s="666"/>
      <c r="MH8" s="666"/>
      <c r="MI8" s="666"/>
      <c r="MJ8" s="666"/>
      <c r="MK8" s="666"/>
      <c r="ML8" s="666"/>
      <c r="MM8" s="666"/>
      <c r="MN8" s="666"/>
      <c r="MO8" s="666"/>
      <c r="MP8" s="666"/>
      <c r="MQ8" s="666"/>
      <c r="MR8" s="666"/>
      <c r="MS8" s="198"/>
      <c r="MT8" s="198"/>
      <c r="MU8" s="198"/>
      <c r="MV8" s="198"/>
      <c r="MW8" s="666" t="str">
        <f>RateCase</f>
        <v>2024 GENERAL RATE CASE</v>
      </c>
      <c r="MX8" s="666"/>
      <c r="MY8" s="666"/>
      <c r="MZ8" s="666"/>
      <c r="NA8" s="666"/>
      <c r="NB8" s="666"/>
      <c r="NC8" s="666"/>
      <c r="ND8" s="666"/>
      <c r="NE8" s="666"/>
      <c r="NF8" s="666"/>
      <c r="NG8" s="666"/>
      <c r="NH8" s="666"/>
      <c r="NI8" s="666"/>
      <c r="NJ8" s="666"/>
      <c r="NK8" s="198"/>
      <c r="NL8" s="198"/>
      <c r="NM8" s="198"/>
      <c r="NN8" s="198"/>
      <c r="NO8" s="666" t="str">
        <f>RateCase</f>
        <v>2024 GENERAL RATE CASE</v>
      </c>
      <c r="NP8" s="666"/>
      <c r="NQ8" s="666"/>
      <c r="NR8" s="666"/>
      <c r="NS8" s="666"/>
      <c r="NT8" s="666"/>
      <c r="NU8" s="666"/>
      <c r="NV8" s="666"/>
      <c r="NW8" s="666"/>
      <c r="NX8" s="666"/>
      <c r="NY8" s="666"/>
      <c r="NZ8" s="666"/>
      <c r="OA8" s="666"/>
      <c r="OB8" s="666"/>
      <c r="OC8" s="198"/>
      <c r="OD8" s="198"/>
      <c r="OE8" s="198"/>
      <c r="OF8" s="198"/>
      <c r="OG8" s="666" t="str">
        <f>RateCase</f>
        <v>2024 GENERAL RATE CASE</v>
      </c>
      <c r="OH8" s="666"/>
      <c r="OI8" s="666"/>
      <c r="OJ8" s="666"/>
      <c r="OK8" s="666"/>
      <c r="OL8" s="666"/>
      <c r="OM8" s="666"/>
      <c r="ON8" s="666"/>
      <c r="OO8" s="666"/>
      <c r="OP8" s="666"/>
      <c r="OQ8" s="666"/>
      <c r="OR8" s="666"/>
      <c r="OS8" s="666"/>
      <c r="OT8" s="666"/>
      <c r="OU8" s="198"/>
      <c r="OV8" s="198"/>
      <c r="OW8" s="198"/>
      <c r="OX8" s="198"/>
      <c r="OY8" s="666" t="str">
        <f>RateCase</f>
        <v>2024 GENERAL RATE CASE</v>
      </c>
      <c r="OZ8" s="666"/>
      <c r="PA8" s="666"/>
      <c r="PB8" s="666"/>
      <c r="PC8" s="666"/>
      <c r="PD8" s="666"/>
      <c r="PE8" s="666"/>
      <c r="PF8" s="666"/>
      <c r="PG8" s="666"/>
      <c r="PH8" s="666"/>
      <c r="PI8" s="667"/>
      <c r="PJ8" s="667"/>
      <c r="PK8" s="667"/>
      <c r="PL8" s="667"/>
      <c r="PM8" s="749"/>
      <c r="PN8" s="749"/>
      <c r="PO8" s="198"/>
      <c r="PP8" s="198"/>
      <c r="PQ8" s="666" t="str">
        <f>RateCase</f>
        <v>2024 GENERAL RATE CASE</v>
      </c>
      <c r="PR8" s="666"/>
      <c r="PS8" s="666"/>
      <c r="PT8" s="666"/>
      <c r="PU8" s="666"/>
      <c r="PV8" s="666"/>
      <c r="PW8" s="666"/>
      <c r="PX8" s="666"/>
      <c r="PY8" s="666"/>
      <c r="PZ8" s="666"/>
      <c r="QA8" s="666"/>
      <c r="QB8" s="666"/>
      <c r="QC8" s="666"/>
      <c r="QD8" s="666"/>
      <c r="QE8" s="198"/>
      <c r="QF8" s="198"/>
      <c r="QG8" s="198"/>
      <c r="QH8" s="198"/>
      <c r="QI8" s="665"/>
      <c r="QJ8" s="664" t="str">
        <f>RateCase</f>
        <v>2024 GENERAL RATE CASE</v>
      </c>
      <c r="QK8" s="664"/>
      <c r="QL8" s="664"/>
      <c r="QM8" s="664"/>
      <c r="QN8" s="664"/>
      <c r="QO8" s="664"/>
      <c r="QP8" s="664"/>
      <c r="QQ8" s="664"/>
      <c r="QR8" s="664"/>
      <c r="QS8" s="664"/>
      <c r="QT8" s="664"/>
      <c r="QU8" s="664"/>
      <c r="QV8" s="664"/>
      <c r="QW8" s="664"/>
      <c r="QX8" s="751"/>
      <c r="QY8" s="751"/>
      <c r="QZ8" s="751"/>
      <c r="RA8" s="751"/>
      <c r="RB8" s="666" t="str">
        <f>RateCase</f>
        <v>2024 GENERAL RATE CASE</v>
      </c>
      <c r="RC8" s="666"/>
      <c r="RD8" s="666"/>
      <c r="RE8" s="666"/>
      <c r="RF8" s="666"/>
      <c r="RG8" s="666"/>
      <c r="RH8" s="666"/>
      <c r="RI8" s="666"/>
      <c r="RJ8" s="666"/>
      <c r="RK8" s="666"/>
      <c r="RL8" s="666"/>
      <c r="RM8" s="666"/>
      <c r="RN8" s="666"/>
      <c r="RO8" s="666"/>
      <c r="RP8" s="198"/>
      <c r="RQ8" s="198"/>
      <c r="RR8" s="198"/>
      <c r="RS8" s="198"/>
      <c r="RT8" s="664" t="str">
        <f>RateCase</f>
        <v>2024 GENERAL RATE CASE</v>
      </c>
      <c r="RU8" s="664"/>
      <c r="RV8" s="664"/>
      <c r="RW8" s="664"/>
      <c r="RX8" s="664"/>
      <c r="RY8" s="664"/>
      <c r="RZ8" s="664"/>
      <c r="SA8" s="664"/>
      <c r="SB8" s="664"/>
      <c r="SC8" s="664"/>
      <c r="SD8" s="664"/>
      <c r="SE8" s="664"/>
      <c r="SF8" s="664"/>
      <c r="SG8" s="664"/>
      <c r="SH8" s="751"/>
      <c r="SI8" s="751"/>
      <c r="SJ8" s="751"/>
      <c r="SK8" s="751"/>
      <c r="SL8" s="664" t="str">
        <f>RateCase</f>
        <v>2024 GENERAL RATE CASE</v>
      </c>
      <c r="SM8" s="665"/>
      <c r="SN8" s="665"/>
      <c r="SO8" s="665"/>
      <c r="SP8" s="665"/>
      <c r="SQ8" s="665"/>
      <c r="SR8" s="665"/>
      <c r="SS8" s="665"/>
      <c r="ST8" s="665"/>
      <c r="SU8" s="665"/>
      <c r="SV8" s="665"/>
      <c r="SW8" s="665"/>
      <c r="SX8" s="665"/>
      <c r="SY8" s="665"/>
      <c r="SZ8" s="752"/>
      <c r="TA8" s="752"/>
      <c r="TB8" s="752"/>
      <c r="TC8" s="752"/>
      <c r="TD8" s="663"/>
      <c r="TE8" s="664" t="str">
        <f>RateCase</f>
        <v>2024 GENERAL RATE CASE</v>
      </c>
      <c r="TF8" s="664"/>
      <c r="TG8" s="664"/>
      <c r="TH8" s="664"/>
      <c r="TI8" s="664"/>
      <c r="TJ8" s="664"/>
      <c r="TK8" s="664"/>
      <c r="TL8" s="664"/>
      <c r="TM8" s="664"/>
      <c r="TN8" s="664"/>
      <c r="TO8" s="664"/>
      <c r="TP8" s="664"/>
      <c r="TQ8" s="664"/>
      <c r="TR8" s="664"/>
      <c r="TS8" s="751"/>
      <c r="TT8" s="751"/>
      <c r="TU8" s="751"/>
      <c r="TV8" s="751"/>
      <c r="TW8" s="663"/>
      <c r="TX8" s="664" t="str">
        <f>RateCase</f>
        <v>2024 GENERAL RATE CASE</v>
      </c>
      <c r="TY8" s="664"/>
      <c r="TZ8" s="664"/>
      <c r="UA8" s="664"/>
      <c r="UB8" s="664"/>
      <c r="UC8" s="664"/>
      <c r="UD8" s="664"/>
      <c r="UE8" s="664"/>
      <c r="UF8" s="664"/>
      <c r="UG8" s="664"/>
      <c r="UH8" s="664"/>
      <c r="UI8" s="664"/>
      <c r="UJ8" s="664"/>
      <c r="UK8" s="664"/>
      <c r="UL8" s="751"/>
      <c r="UM8" s="751"/>
      <c r="UN8" s="751"/>
      <c r="UO8" s="751"/>
      <c r="UQ8" s="664" t="str">
        <f>RateCase</f>
        <v>2024 GENERAL RATE CASE</v>
      </c>
      <c r="UR8" s="664"/>
      <c r="US8" s="664"/>
      <c r="UT8" s="664"/>
      <c r="UU8" s="664"/>
      <c r="UV8" s="664"/>
      <c r="UW8" s="664"/>
      <c r="UX8" s="664"/>
      <c r="UY8" s="664"/>
      <c r="UZ8" s="664"/>
      <c r="VA8" s="664"/>
      <c r="VB8" s="664"/>
      <c r="VC8" s="664"/>
      <c r="VD8" s="664"/>
      <c r="VE8" s="751"/>
      <c r="VF8" s="751"/>
      <c r="VG8" s="751"/>
      <c r="VH8" s="751"/>
      <c r="VJ8" s="664" t="str">
        <f>RateCase</f>
        <v>2024 GENERAL RATE CASE</v>
      </c>
      <c r="VK8" s="664"/>
      <c r="VL8" s="664"/>
      <c r="VM8" s="664"/>
      <c r="VN8" s="664"/>
      <c r="VO8" s="664"/>
      <c r="VP8" s="664"/>
      <c r="VQ8" s="664"/>
      <c r="VR8" s="664"/>
      <c r="VS8" s="664"/>
      <c r="VT8" s="664"/>
      <c r="VU8" s="664"/>
      <c r="VV8" s="664"/>
      <c r="VW8" s="664"/>
      <c r="VY8" s="664" t="str">
        <f>RateCase</f>
        <v>2024 GENERAL RATE CASE</v>
      </c>
      <c r="VZ8" s="664"/>
      <c r="WA8" s="664"/>
      <c r="WB8" s="664"/>
      <c r="WC8" s="664"/>
      <c r="WD8" s="664"/>
      <c r="WE8" s="664"/>
      <c r="WF8" s="664"/>
      <c r="WG8" s="664"/>
      <c r="WH8" s="664"/>
      <c r="WI8" s="664"/>
      <c r="WJ8" s="664"/>
      <c r="WK8" s="664"/>
      <c r="WL8" s="664"/>
    </row>
    <row r="9" spans="1:610" s="241" customFormat="1" x14ac:dyDescent="0.35">
      <c r="A9" s="1144"/>
      <c r="B9" s="1144"/>
      <c r="C9" s="1144"/>
      <c r="D9" s="345" t="s">
        <v>46</v>
      </c>
      <c r="F9" s="345" t="s">
        <v>45</v>
      </c>
      <c r="H9" s="345" t="s">
        <v>45</v>
      </c>
      <c r="J9" s="345" t="s">
        <v>45</v>
      </c>
      <c r="L9" s="345" t="s">
        <v>46</v>
      </c>
      <c r="N9" s="345" t="s">
        <v>46</v>
      </c>
      <c r="O9" s="345"/>
      <c r="P9" s="345" t="s">
        <v>1020</v>
      </c>
      <c r="Q9" s="345"/>
      <c r="R9" s="345" t="s">
        <v>1020</v>
      </c>
      <c r="S9" s="1144"/>
      <c r="T9" s="1144"/>
      <c r="U9" s="1144"/>
      <c r="V9" s="345" t="s">
        <v>1020</v>
      </c>
      <c r="W9" s="345"/>
      <c r="X9" s="345" t="s">
        <v>45</v>
      </c>
      <c r="Y9" s="345"/>
      <c r="Z9" s="345" t="s">
        <v>45</v>
      </c>
      <c r="AA9" s="345"/>
      <c r="AB9" s="345" t="s">
        <v>45</v>
      </c>
      <c r="AC9" s="345"/>
      <c r="AD9" s="345" t="s">
        <v>1020</v>
      </c>
      <c r="AE9" s="345"/>
      <c r="AF9" s="345" t="s">
        <v>46</v>
      </c>
      <c r="AG9" s="345"/>
      <c r="AH9" s="345" t="s">
        <v>1020</v>
      </c>
      <c r="AI9" s="345"/>
      <c r="AJ9" s="345" t="s">
        <v>1020</v>
      </c>
      <c r="AK9" s="1144"/>
      <c r="AL9" s="1144"/>
      <c r="AM9" s="1144"/>
      <c r="AN9" s="345" t="s">
        <v>1020</v>
      </c>
      <c r="AO9" s="345"/>
      <c r="AP9" s="345" t="s">
        <v>45</v>
      </c>
      <c r="AQ9" s="345"/>
      <c r="AR9" s="345" t="s">
        <v>45</v>
      </c>
      <c r="AS9" s="345"/>
      <c r="AT9" s="345" t="s">
        <v>45</v>
      </c>
      <c r="AU9" s="345"/>
      <c r="AV9" s="345" t="s">
        <v>1020</v>
      </c>
      <c r="AW9" s="345"/>
      <c r="AX9" s="345" t="s">
        <v>46</v>
      </c>
      <c r="AY9" s="345"/>
      <c r="AZ9" s="345" t="s">
        <v>1020</v>
      </c>
      <c r="BA9" s="345"/>
      <c r="BB9" s="345" t="s">
        <v>1020</v>
      </c>
      <c r="BC9" s="1144"/>
      <c r="BD9" s="1144"/>
      <c r="BE9" s="1144"/>
      <c r="BF9" s="345" t="s">
        <v>1020</v>
      </c>
      <c r="BG9" s="345"/>
      <c r="BH9" s="345" t="s">
        <v>45</v>
      </c>
      <c r="BI9" s="345"/>
      <c r="BJ9" s="345" t="s">
        <v>45</v>
      </c>
      <c r="BK9" s="345"/>
      <c r="BL9" s="345" t="s">
        <v>45</v>
      </c>
      <c r="BM9" s="345"/>
      <c r="BN9" s="345" t="s">
        <v>1020</v>
      </c>
      <c r="BO9" s="345"/>
      <c r="BP9" s="345" t="s">
        <v>46</v>
      </c>
      <c r="BQ9" s="345"/>
      <c r="BR9" s="345" t="s">
        <v>1020</v>
      </c>
      <c r="BS9" s="345"/>
      <c r="BT9" s="345" t="s">
        <v>1020</v>
      </c>
      <c r="BU9" s="1144"/>
      <c r="BV9" s="1144"/>
      <c r="BW9" s="1144"/>
      <c r="BX9" s="345" t="s">
        <v>1020</v>
      </c>
      <c r="BY9" s="345"/>
      <c r="BZ9" s="345" t="s">
        <v>45</v>
      </c>
      <c r="CA9" s="345"/>
      <c r="CB9" s="345" t="s">
        <v>45</v>
      </c>
      <c r="CC9" s="345"/>
      <c r="CD9" s="345" t="s">
        <v>45</v>
      </c>
      <c r="CE9" s="345"/>
      <c r="CF9" s="345" t="s">
        <v>1020</v>
      </c>
      <c r="CG9" s="345"/>
      <c r="CH9" s="345" t="s">
        <v>46</v>
      </c>
      <c r="CI9" s="345"/>
      <c r="CJ9" s="345" t="s">
        <v>1020</v>
      </c>
      <c r="CK9" s="345"/>
      <c r="CL9" s="345" t="s">
        <v>1020</v>
      </c>
      <c r="CM9" s="1144"/>
      <c r="CN9" s="1144"/>
      <c r="CO9" s="1144"/>
      <c r="CP9" s="345" t="s">
        <v>1020</v>
      </c>
      <c r="CQ9" s="345"/>
      <c r="CR9" s="345" t="s">
        <v>45</v>
      </c>
      <c r="CS9" s="345"/>
      <c r="CT9" s="345" t="s">
        <v>45</v>
      </c>
      <c r="CU9" s="345"/>
      <c r="CV9" s="345" t="s">
        <v>45</v>
      </c>
      <c r="CW9" s="345"/>
      <c r="CX9" s="345" t="s">
        <v>1020</v>
      </c>
      <c r="CY9" s="345"/>
      <c r="CZ9" s="345" t="s">
        <v>46</v>
      </c>
      <c r="DA9" s="345"/>
      <c r="DB9" s="345" t="s">
        <v>1020</v>
      </c>
      <c r="DC9" s="345"/>
      <c r="DD9" s="345" t="s">
        <v>1020</v>
      </c>
      <c r="DE9" s="1144"/>
      <c r="DF9" s="1144"/>
      <c r="DG9" s="1144"/>
      <c r="DH9" s="345" t="s">
        <v>1020</v>
      </c>
      <c r="DI9" s="345"/>
      <c r="DJ9" s="345" t="s">
        <v>45</v>
      </c>
      <c r="DK9" s="345"/>
      <c r="DL9" s="345" t="s">
        <v>45</v>
      </c>
      <c r="DM9" s="345"/>
      <c r="DN9" s="345" t="s">
        <v>45</v>
      </c>
      <c r="DO9" s="345"/>
      <c r="DP9" s="345" t="s">
        <v>1020</v>
      </c>
      <c r="DQ9" s="345"/>
      <c r="DR9" s="345" t="s">
        <v>46</v>
      </c>
      <c r="DS9" s="345"/>
      <c r="DT9" s="345" t="s">
        <v>1020</v>
      </c>
      <c r="DU9" s="345"/>
      <c r="DV9" s="345" t="s">
        <v>1020</v>
      </c>
      <c r="DW9" s="1144"/>
      <c r="DX9" s="1144"/>
      <c r="DY9" s="1144"/>
      <c r="DZ9" s="345" t="s">
        <v>1020</v>
      </c>
      <c r="EA9" s="345"/>
      <c r="EB9" s="345" t="s">
        <v>45</v>
      </c>
      <c r="EC9" s="345"/>
      <c r="ED9" s="345" t="s">
        <v>45</v>
      </c>
      <c r="EE9" s="345"/>
      <c r="EF9" s="345" t="s">
        <v>45</v>
      </c>
      <c r="EG9" s="345"/>
      <c r="EH9" s="345" t="s">
        <v>1020</v>
      </c>
      <c r="EI9" s="345"/>
      <c r="EJ9" s="345" t="s">
        <v>46</v>
      </c>
      <c r="EK9" s="345"/>
      <c r="EL9" s="345" t="s">
        <v>1020</v>
      </c>
      <c r="EM9" s="345"/>
      <c r="EN9" s="345" t="s">
        <v>1020</v>
      </c>
      <c r="EO9" s="1144"/>
      <c r="EP9" s="1144"/>
      <c r="EQ9" s="1144"/>
      <c r="ER9" s="345" t="s">
        <v>1020</v>
      </c>
      <c r="ES9" s="345"/>
      <c r="ET9" s="345" t="s">
        <v>45</v>
      </c>
      <c r="EU9" s="345"/>
      <c r="EV9" s="345" t="s">
        <v>45</v>
      </c>
      <c r="EW9" s="345"/>
      <c r="EX9" s="345" t="s">
        <v>45</v>
      </c>
      <c r="EY9" s="345"/>
      <c r="EZ9" s="345" t="s">
        <v>1020</v>
      </c>
      <c r="FA9" s="345"/>
      <c r="FB9" s="345" t="s">
        <v>46</v>
      </c>
      <c r="FC9" s="345"/>
      <c r="FD9" s="345" t="s">
        <v>1020</v>
      </c>
      <c r="FE9" s="345"/>
      <c r="FF9" s="345" t="s">
        <v>1020</v>
      </c>
      <c r="FG9" s="1144"/>
      <c r="FH9" s="1144"/>
      <c r="FI9" s="1144"/>
      <c r="FJ9" s="345" t="s">
        <v>1020</v>
      </c>
      <c r="FK9" s="345"/>
      <c r="FL9" s="345" t="s">
        <v>45</v>
      </c>
      <c r="FM9" s="345"/>
      <c r="FN9" s="345" t="s">
        <v>45</v>
      </c>
      <c r="FO9" s="345"/>
      <c r="FP9" s="345" t="s">
        <v>45</v>
      </c>
      <c r="FQ9" s="345"/>
      <c r="FR9" s="345" t="s">
        <v>1020</v>
      </c>
      <c r="FS9" s="345"/>
      <c r="FT9" s="345" t="s">
        <v>46</v>
      </c>
      <c r="FU9" s="345"/>
      <c r="FV9" s="345" t="s">
        <v>1020</v>
      </c>
      <c r="FW9" s="345"/>
      <c r="FX9" s="345" t="s">
        <v>1020</v>
      </c>
      <c r="FY9" s="1144"/>
      <c r="FZ9" s="1144"/>
      <c r="GA9" s="1144"/>
      <c r="GB9" s="345" t="s">
        <v>1020</v>
      </c>
      <c r="GC9" s="345"/>
      <c r="GD9" s="345" t="s">
        <v>45</v>
      </c>
      <c r="GE9" s="345"/>
      <c r="GF9" s="345" t="s">
        <v>45</v>
      </c>
      <c r="GG9" s="345"/>
      <c r="GH9" s="345" t="s">
        <v>45</v>
      </c>
      <c r="GI9" s="345"/>
      <c r="GJ9" s="345" t="s">
        <v>1020</v>
      </c>
      <c r="GK9" s="345"/>
      <c r="GL9" s="345" t="s">
        <v>46</v>
      </c>
      <c r="GM9" s="345"/>
      <c r="GN9" s="345" t="s">
        <v>1020</v>
      </c>
      <c r="GO9" s="345"/>
      <c r="GP9" s="345" t="s">
        <v>1020</v>
      </c>
      <c r="GQ9" s="1144"/>
      <c r="GR9" s="1144"/>
      <c r="GS9" s="1144"/>
      <c r="GT9" s="345" t="s">
        <v>1020</v>
      </c>
      <c r="GU9" s="345"/>
      <c r="GV9" s="345" t="s">
        <v>45</v>
      </c>
      <c r="GW9" s="345"/>
      <c r="GX9" s="345" t="s">
        <v>45</v>
      </c>
      <c r="GY9" s="345"/>
      <c r="GZ9" s="345" t="s">
        <v>45</v>
      </c>
      <c r="HA9" s="345"/>
      <c r="HB9" s="345" t="s">
        <v>1020</v>
      </c>
      <c r="HC9" s="345"/>
      <c r="HD9" s="345" t="s">
        <v>46</v>
      </c>
      <c r="HE9" s="345"/>
      <c r="HF9" s="345" t="s">
        <v>1020</v>
      </c>
      <c r="HG9" s="345"/>
      <c r="HH9" s="345" t="s">
        <v>1020</v>
      </c>
      <c r="HI9" s="1144"/>
      <c r="HJ9" s="1144"/>
      <c r="HK9" s="1144"/>
      <c r="HL9" s="345" t="s">
        <v>1020</v>
      </c>
      <c r="HM9" s="345"/>
      <c r="HN9" s="345" t="s">
        <v>45</v>
      </c>
      <c r="HO9" s="345"/>
      <c r="HP9" s="345" t="s">
        <v>45</v>
      </c>
      <c r="HQ9" s="345"/>
      <c r="HR9" s="345" t="s">
        <v>45</v>
      </c>
      <c r="HS9" s="345"/>
      <c r="HT9" s="345" t="s">
        <v>1020</v>
      </c>
      <c r="HU9" s="345"/>
      <c r="HV9" s="345" t="s">
        <v>46</v>
      </c>
      <c r="HW9" s="345"/>
      <c r="HX9" s="345" t="s">
        <v>1020</v>
      </c>
      <c r="HY9" s="345"/>
      <c r="HZ9" s="345" t="s">
        <v>1020</v>
      </c>
      <c r="IA9" s="1144"/>
      <c r="IB9" s="1144"/>
      <c r="IC9" s="1144"/>
      <c r="ID9" s="345" t="s">
        <v>1020</v>
      </c>
      <c r="IE9" s="345"/>
      <c r="IF9" s="345" t="s">
        <v>45</v>
      </c>
      <c r="IG9" s="345"/>
      <c r="IH9" s="345" t="s">
        <v>45</v>
      </c>
      <c r="II9" s="345"/>
      <c r="IJ9" s="345" t="s">
        <v>45</v>
      </c>
      <c r="IK9" s="345"/>
      <c r="IL9" s="345" t="s">
        <v>1020</v>
      </c>
      <c r="IM9" s="345"/>
      <c r="IN9" s="345" t="s">
        <v>46</v>
      </c>
      <c r="IO9" s="345"/>
      <c r="IP9" s="345" t="s">
        <v>1020</v>
      </c>
      <c r="IQ9" s="345"/>
      <c r="IR9" s="345" t="s">
        <v>1020</v>
      </c>
      <c r="IS9" s="1144"/>
      <c r="IT9" s="1144"/>
      <c r="IU9" s="1144"/>
      <c r="IV9" s="345" t="s">
        <v>1020</v>
      </c>
      <c r="IW9" s="345"/>
      <c r="IX9" s="345" t="s">
        <v>45</v>
      </c>
      <c r="IY9" s="345"/>
      <c r="IZ9" s="345" t="s">
        <v>45</v>
      </c>
      <c r="JA9" s="345"/>
      <c r="JB9" s="345" t="s">
        <v>45</v>
      </c>
      <c r="JC9" s="345"/>
      <c r="JD9" s="345" t="s">
        <v>1020</v>
      </c>
      <c r="JE9" s="345"/>
      <c r="JF9" s="345" t="s">
        <v>46</v>
      </c>
      <c r="JG9" s="345"/>
      <c r="JH9" s="345" t="s">
        <v>1020</v>
      </c>
      <c r="JI9" s="345"/>
      <c r="JJ9" s="345" t="s">
        <v>1020</v>
      </c>
      <c r="JK9" s="1144"/>
      <c r="JL9" s="1144"/>
      <c r="JM9" s="1144"/>
      <c r="JN9" s="345" t="s">
        <v>1020</v>
      </c>
      <c r="JO9" s="345"/>
      <c r="JP9" s="345" t="s">
        <v>45</v>
      </c>
      <c r="JQ9" s="345"/>
      <c r="JR9" s="345" t="s">
        <v>45</v>
      </c>
      <c r="JS9" s="345"/>
      <c r="JT9" s="345" t="s">
        <v>45</v>
      </c>
      <c r="JU9" s="345"/>
      <c r="JV9" s="345" t="s">
        <v>1020</v>
      </c>
      <c r="JW9" s="345"/>
      <c r="JX9" s="345" t="s">
        <v>46</v>
      </c>
      <c r="JY9" s="345"/>
      <c r="JZ9" s="345" t="s">
        <v>1020</v>
      </c>
      <c r="KA9" s="345"/>
      <c r="KB9" s="345" t="s">
        <v>1020</v>
      </c>
      <c r="KC9" s="1144"/>
      <c r="KD9" s="1144"/>
      <c r="KE9" s="1144"/>
      <c r="KF9" s="345" t="s">
        <v>1020</v>
      </c>
      <c r="KG9" s="345"/>
      <c r="KH9" s="345" t="s">
        <v>45</v>
      </c>
      <c r="KI9" s="345"/>
      <c r="KJ9" s="345" t="s">
        <v>45</v>
      </c>
      <c r="KK9" s="345"/>
      <c r="KL9" s="345" t="s">
        <v>45</v>
      </c>
      <c r="KM9" s="345"/>
      <c r="KN9" s="345" t="s">
        <v>1020</v>
      </c>
      <c r="KO9" s="345"/>
      <c r="KP9" s="345" t="s">
        <v>46</v>
      </c>
      <c r="KQ9" s="345"/>
      <c r="KR9" s="345" t="s">
        <v>1020</v>
      </c>
      <c r="KS9" s="345"/>
      <c r="KT9" s="345" t="s">
        <v>1020</v>
      </c>
      <c r="KU9" s="1144"/>
      <c r="KV9" s="1144"/>
      <c r="KW9" s="1144"/>
      <c r="KX9" s="345" t="s">
        <v>1020</v>
      </c>
      <c r="KY9" s="345"/>
      <c r="KZ9" s="345" t="s">
        <v>45</v>
      </c>
      <c r="LA9" s="345"/>
      <c r="LB9" s="345" t="s">
        <v>45</v>
      </c>
      <c r="LC9" s="345"/>
      <c r="LD9" s="345" t="s">
        <v>45</v>
      </c>
      <c r="LE9" s="345"/>
      <c r="LF9" s="345" t="s">
        <v>1020</v>
      </c>
      <c r="LG9" s="345"/>
      <c r="LH9" s="345" t="s">
        <v>46</v>
      </c>
      <c r="LI9" s="345"/>
      <c r="LJ9" s="345" t="s">
        <v>1020</v>
      </c>
      <c r="LK9" s="345"/>
      <c r="LL9" s="345" t="s">
        <v>1020</v>
      </c>
      <c r="LM9" s="1144"/>
      <c r="LN9" s="1144"/>
      <c r="LO9" s="1144"/>
      <c r="LP9" s="345" t="s">
        <v>1020</v>
      </c>
      <c r="LQ9" s="345"/>
      <c r="LR9" s="345" t="s">
        <v>45</v>
      </c>
      <c r="LS9" s="345"/>
      <c r="LT9" s="345" t="s">
        <v>45</v>
      </c>
      <c r="LU9" s="345"/>
      <c r="LV9" s="345" t="s">
        <v>45</v>
      </c>
      <c r="LW9" s="345"/>
      <c r="LX9" s="345" t="s">
        <v>1020</v>
      </c>
      <c r="LY9" s="345"/>
      <c r="LZ9" s="345" t="s">
        <v>46</v>
      </c>
      <c r="MA9" s="345"/>
      <c r="MB9" s="345" t="s">
        <v>1020</v>
      </c>
      <c r="MC9" s="345"/>
      <c r="MD9" s="345" t="s">
        <v>1020</v>
      </c>
      <c r="ME9" s="1144"/>
      <c r="MF9" s="1144"/>
      <c r="MG9" s="1144"/>
      <c r="MH9" s="345" t="s">
        <v>1020</v>
      </c>
      <c r="MI9" s="345"/>
      <c r="MJ9" s="345" t="s">
        <v>45</v>
      </c>
      <c r="MK9" s="345"/>
      <c r="ML9" s="345" t="s">
        <v>45</v>
      </c>
      <c r="MM9" s="345"/>
      <c r="MN9" s="345" t="s">
        <v>45</v>
      </c>
      <c r="MO9" s="345"/>
      <c r="MP9" s="345" t="s">
        <v>1020</v>
      </c>
      <c r="MQ9" s="345"/>
      <c r="MR9" s="345" t="s">
        <v>46</v>
      </c>
      <c r="MS9" s="345"/>
      <c r="MT9" s="345" t="s">
        <v>1020</v>
      </c>
      <c r="MU9" s="345"/>
      <c r="MV9" s="345" t="s">
        <v>1020</v>
      </c>
      <c r="MW9" s="1144"/>
      <c r="MX9" s="1144"/>
      <c r="MY9" s="1144"/>
      <c r="MZ9" s="345" t="s">
        <v>1020</v>
      </c>
      <c r="NA9" s="345"/>
      <c r="NB9" s="345" t="s">
        <v>45</v>
      </c>
      <c r="NC9" s="345"/>
      <c r="ND9" s="345" t="s">
        <v>45</v>
      </c>
      <c r="NE9" s="345"/>
      <c r="NF9" s="345" t="s">
        <v>45</v>
      </c>
      <c r="NG9" s="345"/>
      <c r="NH9" s="345" t="s">
        <v>1020</v>
      </c>
      <c r="NI9" s="345"/>
      <c r="NJ9" s="345" t="s">
        <v>46</v>
      </c>
      <c r="NK9" s="345"/>
      <c r="NL9" s="345" t="s">
        <v>1020</v>
      </c>
      <c r="NM9" s="345"/>
      <c r="NN9" s="345" t="s">
        <v>1020</v>
      </c>
      <c r="NO9" s="1144"/>
      <c r="NP9" s="1144"/>
      <c r="NQ9" s="1144"/>
      <c r="NR9" s="345" t="s">
        <v>1020</v>
      </c>
      <c r="NS9" s="345"/>
      <c r="NT9" s="345" t="s">
        <v>45</v>
      </c>
      <c r="NU9" s="345"/>
      <c r="NV9" s="345" t="s">
        <v>45</v>
      </c>
      <c r="NW9" s="345"/>
      <c r="NX9" s="345" t="s">
        <v>45</v>
      </c>
      <c r="NY9" s="345"/>
      <c r="NZ9" s="345" t="s">
        <v>1020</v>
      </c>
      <c r="OA9" s="345"/>
      <c r="OB9" s="345" t="s">
        <v>46</v>
      </c>
      <c r="OC9" s="345"/>
      <c r="OD9" s="345" t="s">
        <v>1020</v>
      </c>
      <c r="OE9" s="345"/>
      <c r="OF9" s="345" t="s">
        <v>1020</v>
      </c>
      <c r="OG9" s="1144"/>
      <c r="OH9" s="1144"/>
      <c r="OI9" s="1144"/>
      <c r="OJ9" s="345" t="s">
        <v>1020</v>
      </c>
      <c r="OK9" s="345"/>
      <c r="OL9" s="345" t="s">
        <v>45</v>
      </c>
      <c r="OM9" s="345"/>
      <c r="ON9" s="345" t="s">
        <v>45</v>
      </c>
      <c r="OO9" s="345"/>
      <c r="OP9" s="345" t="s">
        <v>45</v>
      </c>
      <c r="OQ9" s="345"/>
      <c r="OR9" s="345" t="s">
        <v>1020</v>
      </c>
      <c r="OS9" s="345"/>
      <c r="OT9" s="345" t="s">
        <v>46</v>
      </c>
      <c r="OU9" s="345"/>
      <c r="OV9" s="345" t="s">
        <v>1020</v>
      </c>
      <c r="OW9" s="345"/>
      <c r="OX9" s="345" t="s">
        <v>1020</v>
      </c>
      <c r="OY9" s="1144"/>
      <c r="OZ9" s="1144"/>
      <c r="PA9" s="1144"/>
      <c r="PB9" s="345" t="s">
        <v>1020</v>
      </c>
      <c r="PC9" s="345"/>
      <c r="PD9" s="345" t="s">
        <v>45</v>
      </c>
      <c r="PE9" s="345"/>
      <c r="PF9" s="345" t="s">
        <v>45</v>
      </c>
      <c r="PG9" s="345"/>
      <c r="PH9" s="345" t="s">
        <v>45</v>
      </c>
      <c r="PI9" s="345"/>
      <c r="PJ9" s="345" t="s">
        <v>1020</v>
      </c>
      <c r="PK9" s="345"/>
      <c r="PL9" s="345" t="s">
        <v>46</v>
      </c>
      <c r="PM9" s="345"/>
      <c r="PN9" s="345" t="s">
        <v>1020</v>
      </c>
      <c r="PO9" s="345"/>
      <c r="PP9" s="345" t="s">
        <v>1020</v>
      </c>
      <c r="PQ9" s="1144"/>
      <c r="PR9" s="1144"/>
      <c r="PS9" s="1144"/>
      <c r="PT9" s="345" t="s">
        <v>1020</v>
      </c>
      <c r="PU9" s="345"/>
      <c r="PV9" s="345" t="s">
        <v>45</v>
      </c>
      <c r="PW9" s="345"/>
      <c r="PX9" s="345" t="s">
        <v>45</v>
      </c>
      <c r="PY9" s="345"/>
      <c r="PZ9" s="345" t="s">
        <v>45</v>
      </c>
      <c r="QA9" s="345"/>
      <c r="QB9" s="345" t="s">
        <v>1020</v>
      </c>
      <c r="QC9" s="345"/>
      <c r="QD9" s="345" t="s">
        <v>46</v>
      </c>
      <c r="QE9" s="345"/>
      <c r="QF9" s="345" t="s">
        <v>1020</v>
      </c>
      <c r="QG9" s="345"/>
      <c r="QH9" s="345" t="s">
        <v>1020</v>
      </c>
      <c r="QI9" s="268"/>
      <c r="QJ9" s="1145"/>
      <c r="QK9" s="1145"/>
      <c r="QL9" s="1145"/>
      <c r="QM9" s="345" t="s">
        <v>1020</v>
      </c>
      <c r="QN9" s="345"/>
      <c r="QO9" s="345" t="s">
        <v>45</v>
      </c>
      <c r="QP9" s="345"/>
      <c r="QQ9" s="345" t="s">
        <v>45</v>
      </c>
      <c r="QR9" s="345"/>
      <c r="QS9" s="345" t="s">
        <v>45</v>
      </c>
      <c r="QT9" s="345"/>
      <c r="QU9" s="345" t="s">
        <v>1020</v>
      </c>
      <c r="QV9" s="345"/>
      <c r="QW9" s="345" t="s">
        <v>46</v>
      </c>
      <c r="QX9" s="345"/>
      <c r="QY9" s="345" t="s">
        <v>1020</v>
      </c>
      <c r="QZ9" s="345"/>
      <c r="RA9" s="345" t="s">
        <v>1020</v>
      </c>
      <c r="RB9" s="345"/>
      <c r="RC9" s="345"/>
      <c r="RD9" s="1144"/>
      <c r="RE9" s="345" t="s">
        <v>1020</v>
      </c>
      <c r="RF9" s="345"/>
      <c r="RG9" s="345" t="s">
        <v>45</v>
      </c>
      <c r="RH9" s="345"/>
      <c r="RI9" s="345" t="s">
        <v>45</v>
      </c>
      <c r="RJ9" s="345"/>
      <c r="RK9" s="345" t="s">
        <v>45</v>
      </c>
      <c r="RL9" s="345"/>
      <c r="RM9" s="345" t="s">
        <v>1020</v>
      </c>
      <c r="RN9" s="345"/>
      <c r="RO9" s="345" t="s">
        <v>46</v>
      </c>
      <c r="RP9" s="345"/>
      <c r="RQ9" s="345" t="s">
        <v>1020</v>
      </c>
      <c r="RR9" s="345"/>
      <c r="RS9" s="345" t="s">
        <v>1020</v>
      </c>
      <c r="RT9" s="1145"/>
      <c r="RU9" s="1145"/>
      <c r="RV9" s="1145"/>
      <c r="RW9" s="345" t="s">
        <v>1020</v>
      </c>
      <c r="RX9" s="345"/>
      <c r="RY9" s="345" t="s">
        <v>45</v>
      </c>
      <c r="RZ9" s="345"/>
      <c r="SA9" s="345" t="s">
        <v>45</v>
      </c>
      <c r="SB9" s="345"/>
      <c r="SC9" s="345" t="s">
        <v>45</v>
      </c>
      <c r="SD9" s="345"/>
      <c r="SE9" s="345" t="s">
        <v>1020</v>
      </c>
      <c r="SF9" s="345"/>
      <c r="SG9" s="345" t="s">
        <v>46</v>
      </c>
      <c r="SH9" s="345"/>
      <c r="SI9" s="345" t="s">
        <v>1020</v>
      </c>
      <c r="SJ9" s="345"/>
      <c r="SK9" s="345" t="s">
        <v>1020</v>
      </c>
      <c r="SL9" s="1145"/>
      <c r="SM9" s="1145"/>
      <c r="SN9" s="1145"/>
      <c r="SO9" s="345" t="s">
        <v>1020</v>
      </c>
      <c r="SP9" s="345"/>
      <c r="SQ9" s="345" t="s">
        <v>45</v>
      </c>
      <c r="SR9" s="345"/>
      <c r="SS9" s="345" t="s">
        <v>45</v>
      </c>
      <c r="ST9" s="345"/>
      <c r="SU9" s="345" t="s">
        <v>45</v>
      </c>
      <c r="SV9" s="345"/>
      <c r="SW9" s="345" t="s">
        <v>1020</v>
      </c>
      <c r="SX9" s="345"/>
      <c r="SY9" s="345" t="s">
        <v>46</v>
      </c>
      <c r="SZ9" s="345"/>
      <c r="TA9" s="345" t="s">
        <v>1020</v>
      </c>
      <c r="TB9" s="345"/>
      <c r="TC9" s="345" t="s">
        <v>1020</v>
      </c>
      <c r="TD9" s="268"/>
      <c r="TE9" s="1145"/>
      <c r="TF9" s="1145"/>
      <c r="TG9" s="1145"/>
      <c r="TH9" s="345" t="s">
        <v>1020</v>
      </c>
      <c r="TI9" s="345"/>
      <c r="TJ9" s="345" t="s">
        <v>45</v>
      </c>
      <c r="TK9" s="345"/>
      <c r="TL9" s="345" t="s">
        <v>45</v>
      </c>
      <c r="TM9" s="345"/>
      <c r="TN9" s="345" t="s">
        <v>45</v>
      </c>
      <c r="TO9" s="345"/>
      <c r="TP9" s="345" t="s">
        <v>1020</v>
      </c>
      <c r="TQ9" s="345"/>
      <c r="TR9" s="345" t="s">
        <v>46</v>
      </c>
      <c r="TS9" s="345"/>
      <c r="TT9" s="345" t="s">
        <v>1020</v>
      </c>
      <c r="TU9" s="345"/>
      <c r="TV9" s="345" t="s">
        <v>1020</v>
      </c>
      <c r="TW9" s="268"/>
      <c r="TX9" s="1145"/>
      <c r="TY9" s="1145"/>
      <c r="TZ9" s="1145"/>
      <c r="UA9" s="345" t="s">
        <v>45</v>
      </c>
      <c r="UB9" s="345"/>
      <c r="UC9" s="345" t="s">
        <v>45</v>
      </c>
      <c r="UD9" s="345"/>
      <c r="UE9" s="345" t="s">
        <v>45</v>
      </c>
      <c r="UF9" s="345"/>
      <c r="UG9" s="345" t="s">
        <v>45</v>
      </c>
      <c r="UH9" s="345"/>
      <c r="UI9" s="345" t="s">
        <v>1020</v>
      </c>
      <c r="UJ9" s="345"/>
      <c r="UK9" s="345" t="s">
        <v>46</v>
      </c>
      <c r="UL9" s="345"/>
      <c r="UM9" s="345" t="s">
        <v>1020</v>
      </c>
      <c r="UN9" s="345"/>
      <c r="UO9" s="345" t="s">
        <v>1020</v>
      </c>
      <c r="UQ9" s="1145"/>
      <c r="UR9" s="1145"/>
      <c r="US9" s="1145"/>
      <c r="UT9" s="345" t="s">
        <v>1020</v>
      </c>
      <c r="UU9" s="345"/>
      <c r="UV9" s="345" t="s">
        <v>45</v>
      </c>
      <c r="UW9" s="345"/>
      <c r="UX9" s="345" t="s">
        <v>45</v>
      </c>
      <c r="UY9" s="345"/>
      <c r="UZ9" s="345" t="s">
        <v>45</v>
      </c>
      <c r="VA9" s="345"/>
      <c r="VB9" s="345" t="s">
        <v>1020</v>
      </c>
      <c r="VC9" s="345"/>
      <c r="VD9" s="345" t="s">
        <v>46</v>
      </c>
      <c r="VE9" s="345"/>
      <c r="VF9" s="345" t="s">
        <v>1020</v>
      </c>
      <c r="VG9" s="345"/>
      <c r="VH9" s="345" t="s">
        <v>1020</v>
      </c>
      <c r="VJ9" s="1144"/>
      <c r="VK9" s="1144"/>
      <c r="VL9" s="1144"/>
      <c r="VM9" s="345" t="s">
        <v>1020</v>
      </c>
      <c r="VN9" s="345"/>
      <c r="VO9" s="345" t="s">
        <v>45</v>
      </c>
      <c r="VP9" s="345"/>
      <c r="VQ9" s="345" t="s">
        <v>45</v>
      </c>
      <c r="VR9" s="345"/>
      <c r="VS9" s="345" t="s">
        <v>45</v>
      </c>
      <c r="VT9" s="345"/>
      <c r="VU9" s="345" t="s">
        <v>1020</v>
      </c>
      <c r="VV9" s="345"/>
      <c r="VW9" s="345" t="s">
        <v>46</v>
      </c>
      <c r="VY9" s="1145"/>
      <c r="VZ9" s="1145"/>
      <c r="WA9" s="1145"/>
      <c r="WB9" s="345" t="s">
        <v>1020</v>
      </c>
      <c r="WC9" s="345"/>
      <c r="WD9" s="345" t="s">
        <v>45</v>
      </c>
      <c r="WE9" s="345"/>
      <c r="WF9" s="345" t="s">
        <v>45</v>
      </c>
      <c r="WG9" s="345"/>
      <c r="WH9" s="345" t="s">
        <v>45</v>
      </c>
      <c r="WI9" s="345"/>
      <c r="WJ9" s="345" t="s">
        <v>1020</v>
      </c>
      <c r="WK9" s="345"/>
      <c r="WL9" s="345" t="s">
        <v>46</v>
      </c>
    </row>
    <row r="10" spans="1:610" x14ac:dyDescent="0.35">
      <c r="A10" s="127"/>
      <c r="B10" s="127"/>
      <c r="C10" s="127"/>
      <c r="D10" s="1138"/>
      <c r="E10" s="1139"/>
      <c r="F10" s="1139"/>
      <c r="G10" s="1139"/>
      <c r="H10" s="1139"/>
      <c r="I10" s="1139"/>
      <c r="J10" s="1140"/>
      <c r="K10" s="1140"/>
      <c r="L10" s="1140"/>
      <c r="M10" s="1140"/>
      <c r="N10" s="1143"/>
      <c r="O10" s="1140"/>
      <c r="P10" s="1140"/>
      <c r="Q10" s="1140"/>
      <c r="R10" s="1143"/>
      <c r="S10" s="127"/>
      <c r="T10" s="127"/>
      <c r="U10" s="127"/>
      <c r="V10" s="1138"/>
      <c r="W10" s="1139"/>
      <c r="X10" s="1139"/>
      <c r="Y10" s="1139"/>
      <c r="Z10" s="1139"/>
      <c r="AA10" s="1139"/>
      <c r="AB10" s="1140"/>
      <c r="AC10" s="1140"/>
      <c r="AD10" s="1140"/>
      <c r="AE10" s="1140"/>
      <c r="AF10" s="1143"/>
      <c r="AG10" s="1140"/>
      <c r="AH10" s="1140"/>
      <c r="AI10" s="1140"/>
      <c r="AJ10" s="1143"/>
      <c r="AK10" s="127"/>
      <c r="AL10" s="127"/>
      <c r="AM10" s="127"/>
      <c r="AN10" s="1138"/>
      <c r="AO10" s="1139"/>
      <c r="AP10" s="1139"/>
      <c r="AQ10" s="1139"/>
      <c r="AR10" s="1139"/>
      <c r="AS10" s="1139"/>
      <c r="AT10" s="1140"/>
      <c r="AU10" s="1140"/>
      <c r="AV10" s="1140"/>
      <c r="AW10" s="1140"/>
      <c r="AX10" s="1143"/>
      <c r="AY10" s="1140"/>
      <c r="AZ10" s="1140"/>
      <c r="BA10" s="1140"/>
      <c r="BB10" s="1143"/>
      <c r="BC10" s="127"/>
      <c r="BD10" s="127"/>
      <c r="BE10" s="127"/>
      <c r="BF10" s="1138"/>
      <c r="BG10" s="1139"/>
      <c r="BH10" s="1139"/>
      <c r="BI10" s="1139"/>
      <c r="BJ10" s="1139"/>
      <c r="BK10" s="1139"/>
      <c r="BL10" s="1140"/>
      <c r="BM10" s="1140"/>
      <c r="BN10" s="1140"/>
      <c r="BO10" s="1140"/>
      <c r="BP10" s="1143"/>
      <c r="BQ10" s="1140"/>
      <c r="BR10" s="1140"/>
      <c r="BS10" s="1140"/>
      <c r="BT10" s="1143"/>
      <c r="BU10" s="127"/>
      <c r="BV10" s="127"/>
      <c r="BW10" s="127"/>
      <c r="BX10" s="1138"/>
      <c r="BY10" s="1139"/>
      <c r="BZ10" s="1139"/>
      <c r="CA10" s="1139"/>
      <c r="CB10" s="1139"/>
      <c r="CC10" s="1139"/>
      <c r="CD10" s="1140"/>
      <c r="CE10" s="1140"/>
      <c r="CF10" s="1140"/>
      <c r="CG10" s="1140"/>
      <c r="CH10" s="1143"/>
      <c r="CI10" s="1140"/>
      <c r="CJ10" s="1140"/>
      <c r="CK10" s="1140"/>
      <c r="CL10" s="1143"/>
      <c r="CM10" s="127"/>
      <c r="CN10" s="127"/>
      <c r="CO10" s="127"/>
      <c r="CP10" s="1138"/>
      <c r="CQ10" s="1139"/>
      <c r="CR10" s="1139"/>
      <c r="CS10" s="1139"/>
      <c r="CT10" s="1139"/>
      <c r="CU10" s="1139"/>
      <c r="CV10" s="1140"/>
      <c r="CW10" s="1140"/>
      <c r="CX10" s="1140"/>
      <c r="CY10" s="1140"/>
      <c r="CZ10" s="1143"/>
      <c r="DA10" s="1140"/>
      <c r="DB10" s="1140"/>
      <c r="DC10" s="1140"/>
      <c r="DD10" s="1143"/>
      <c r="DE10" s="127"/>
      <c r="DF10" s="127"/>
      <c r="DG10" s="127"/>
      <c r="DH10" s="1138"/>
      <c r="DI10" s="1139"/>
      <c r="DJ10" s="1139"/>
      <c r="DK10" s="1139"/>
      <c r="DL10" s="1139"/>
      <c r="DM10" s="1139"/>
      <c r="DN10" s="1140"/>
      <c r="DO10" s="1140"/>
      <c r="DP10" s="1140"/>
      <c r="DQ10" s="1140"/>
      <c r="DR10" s="1143"/>
      <c r="DS10" s="1140"/>
      <c r="DT10" s="1140"/>
      <c r="DU10" s="1140"/>
      <c r="DV10" s="1143"/>
      <c r="DW10" s="127"/>
      <c r="DX10" s="127"/>
      <c r="DY10" s="127"/>
      <c r="DZ10" s="1138"/>
      <c r="EA10" s="1139"/>
      <c r="EB10" s="1139"/>
      <c r="EC10" s="1139"/>
      <c r="ED10" s="1139"/>
      <c r="EE10" s="1139"/>
      <c r="EF10" s="1140"/>
      <c r="EG10" s="1140"/>
      <c r="EH10" s="1140"/>
      <c r="EI10" s="1140"/>
      <c r="EJ10" s="1143"/>
      <c r="EK10" s="1140"/>
      <c r="EL10" s="1140"/>
      <c r="EM10" s="1140"/>
      <c r="EN10" s="1143"/>
      <c r="EO10" s="127"/>
      <c r="EP10" s="127"/>
      <c r="EQ10" s="127"/>
      <c r="ER10" s="1138"/>
      <c r="ES10" s="1139"/>
      <c r="ET10" s="1139"/>
      <c r="EU10" s="1139"/>
      <c r="EV10" s="1139"/>
      <c r="EW10" s="1139"/>
      <c r="EX10" s="1140"/>
      <c r="EY10" s="1140"/>
      <c r="EZ10" s="1140"/>
      <c r="FA10" s="1140"/>
      <c r="FB10" s="1143"/>
      <c r="FC10" s="1140"/>
      <c r="FD10" s="1140"/>
      <c r="FE10" s="1140"/>
      <c r="FF10" s="1143"/>
      <c r="FG10" s="127"/>
      <c r="FH10" s="127"/>
      <c r="FI10" s="127"/>
      <c r="FJ10" s="1138"/>
      <c r="FK10" s="1139"/>
      <c r="FL10" s="1139"/>
      <c r="FM10" s="1139"/>
      <c r="FN10" s="1139"/>
      <c r="FO10" s="1139"/>
      <c r="FP10" s="1140"/>
      <c r="FQ10" s="1140"/>
      <c r="FR10" s="1140"/>
      <c r="FS10" s="1140"/>
      <c r="FT10" s="1143"/>
      <c r="FU10" s="1140"/>
      <c r="FV10" s="1140"/>
      <c r="FW10" s="1140"/>
      <c r="FX10" s="1143"/>
      <c r="FY10" s="127"/>
      <c r="FZ10" s="127"/>
      <c r="GA10" s="127"/>
      <c r="GB10" s="1138"/>
      <c r="GC10" s="1139"/>
      <c r="GD10" s="1139"/>
      <c r="GE10" s="1139"/>
      <c r="GF10" s="1139"/>
      <c r="GG10" s="1139"/>
      <c r="GH10" s="1140"/>
      <c r="GI10" s="1140"/>
      <c r="GJ10" s="1140"/>
      <c r="GK10" s="1140"/>
      <c r="GL10" s="1143"/>
      <c r="GM10" s="1140"/>
      <c r="GN10" s="1140"/>
      <c r="GO10" s="1140"/>
      <c r="GP10" s="1143"/>
      <c r="GQ10" s="127"/>
      <c r="GR10" s="127"/>
      <c r="GS10" s="127"/>
      <c r="GT10" s="1138"/>
      <c r="GU10" s="1139"/>
      <c r="GV10" s="1139"/>
      <c r="GW10" s="1139"/>
      <c r="GX10" s="1139"/>
      <c r="GY10" s="1139"/>
      <c r="GZ10" s="1140"/>
      <c r="HA10" s="1140"/>
      <c r="HB10" s="1140"/>
      <c r="HC10" s="1140"/>
      <c r="HD10" s="1143"/>
      <c r="HE10" s="1140"/>
      <c r="HF10" s="1140"/>
      <c r="HG10" s="1140"/>
      <c r="HH10" s="1143"/>
      <c r="HI10" s="127"/>
      <c r="HJ10" s="127"/>
      <c r="HK10" s="127"/>
      <c r="HL10" s="1138"/>
      <c r="HM10" s="1139"/>
      <c r="HN10" s="1139"/>
      <c r="HO10" s="1139"/>
      <c r="HP10" s="1139"/>
      <c r="HQ10" s="1139"/>
      <c r="HR10" s="1140"/>
      <c r="HS10" s="1140"/>
      <c r="HT10" s="1140"/>
      <c r="HU10" s="1140"/>
      <c r="HV10" s="1143"/>
      <c r="HW10" s="1140"/>
      <c r="HX10" s="1140"/>
      <c r="HY10" s="1140"/>
      <c r="HZ10" s="1143"/>
      <c r="IA10" s="127"/>
      <c r="IB10" s="127"/>
      <c r="IC10" s="127"/>
      <c r="ID10" s="1138"/>
      <c r="IE10" s="1139"/>
      <c r="IF10" s="1139"/>
      <c r="IG10" s="1139"/>
      <c r="IH10" s="1139"/>
      <c r="II10" s="1139"/>
      <c r="IJ10" s="1140"/>
      <c r="IK10" s="1140"/>
      <c r="IL10" s="1140"/>
      <c r="IM10" s="1140"/>
      <c r="IN10" s="1143"/>
      <c r="IO10" s="1140"/>
      <c r="IP10" s="1140"/>
      <c r="IQ10" s="1140"/>
      <c r="IR10" s="1143"/>
      <c r="IS10" s="127"/>
      <c r="IT10" s="127"/>
      <c r="IU10" s="127"/>
      <c r="IV10" s="1138"/>
      <c r="IW10" s="1139"/>
      <c r="IX10" s="1139"/>
      <c r="IY10" s="1139"/>
      <c r="IZ10" s="1139"/>
      <c r="JA10" s="1139"/>
      <c r="JB10" s="1140"/>
      <c r="JC10" s="1140"/>
      <c r="JD10" s="1140"/>
      <c r="JE10" s="1140"/>
      <c r="JF10" s="1143"/>
      <c r="JG10" s="1140"/>
      <c r="JH10" s="1140"/>
      <c r="JI10" s="1140"/>
      <c r="JJ10" s="1143"/>
      <c r="JK10" s="127"/>
      <c r="JL10" s="127"/>
      <c r="JM10" s="127"/>
      <c r="JN10" s="1138"/>
      <c r="JO10" s="1139"/>
      <c r="JP10" s="1139"/>
      <c r="JQ10" s="1139"/>
      <c r="JR10" s="1139"/>
      <c r="JS10" s="1139"/>
      <c r="JT10" s="1140"/>
      <c r="JU10" s="1140"/>
      <c r="JV10" s="1140"/>
      <c r="JW10" s="1140"/>
      <c r="JX10" s="1143"/>
      <c r="JY10" s="1140"/>
      <c r="JZ10" s="1140"/>
      <c r="KA10" s="1140"/>
      <c r="KB10" s="1143"/>
      <c r="KC10" s="127"/>
      <c r="KD10" s="127"/>
      <c r="KE10" s="127"/>
      <c r="KF10" s="1138"/>
      <c r="KG10" s="1139"/>
      <c r="KH10" s="1139"/>
      <c r="KI10" s="1139"/>
      <c r="KJ10" s="1139"/>
      <c r="KK10" s="1139"/>
      <c r="KL10" s="1140"/>
      <c r="KM10" s="1140"/>
      <c r="KN10" s="1140"/>
      <c r="KO10" s="1140"/>
      <c r="KP10" s="1143"/>
      <c r="KQ10" s="1140"/>
      <c r="KR10" s="1140"/>
      <c r="KS10" s="1140"/>
      <c r="KT10" s="1143"/>
      <c r="KU10" s="127"/>
      <c r="KV10" s="127"/>
      <c r="KW10" s="127"/>
      <c r="KX10" s="1138"/>
      <c r="KY10" s="1139"/>
      <c r="KZ10" s="1139"/>
      <c r="LA10" s="1139"/>
      <c r="LB10" s="1139"/>
      <c r="LC10" s="1139"/>
      <c r="LD10" s="1140"/>
      <c r="LE10" s="1140"/>
      <c r="LF10" s="1140"/>
      <c r="LG10" s="1140"/>
      <c r="LH10" s="1143"/>
      <c r="LI10" s="1140"/>
      <c r="LJ10" s="1140"/>
      <c r="LK10" s="1140"/>
      <c r="LL10" s="1143"/>
      <c r="LP10" s="1138"/>
      <c r="LQ10" s="1139"/>
      <c r="LR10" s="1139"/>
      <c r="LS10" s="1139"/>
      <c r="LT10" s="1139"/>
      <c r="LU10" s="1139"/>
      <c r="LV10" s="1140"/>
      <c r="LW10" s="1140"/>
      <c r="LX10" s="1140"/>
      <c r="LY10" s="1140"/>
      <c r="LZ10" s="1143"/>
      <c r="MA10" s="1140"/>
      <c r="MB10" s="1140"/>
      <c r="MC10" s="1140"/>
      <c r="MD10" s="1143"/>
      <c r="MH10" s="1138"/>
      <c r="MI10" s="1139"/>
      <c r="MJ10" s="1139"/>
      <c r="MK10" s="1139"/>
      <c r="ML10" s="1139"/>
      <c r="MM10" s="1139"/>
      <c r="MN10" s="1140"/>
      <c r="MO10" s="1140"/>
      <c r="MP10" s="1140"/>
      <c r="MQ10" s="1140"/>
      <c r="MR10" s="1143"/>
      <c r="MS10" s="1140"/>
      <c r="MT10" s="1140"/>
      <c r="MU10" s="1140"/>
      <c r="MV10" s="1143"/>
      <c r="MW10" s="127"/>
      <c r="MX10" s="127"/>
      <c r="MY10" s="127"/>
      <c r="MZ10" s="1138"/>
      <c r="NA10" s="1139"/>
      <c r="NB10" s="1139"/>
      <c r="NC10" s="1139"/>
      <c r="ND10" s="1139"/>
      <c r="NE10" s="1139"/>
      <c r="NF10" s="1140"/>
      <c r="NG10" s="1140"/>
      <c r="NH10" s="1140"/>
      <c r="NI10" s="1140"/>
      <c r="NJ10" s="1143"/>
      <c r="NK10" s="1140"/>
      <c r="NL10" s="1140"/>
      <c r="NM10" s="1140"/>
      <c r="NN10" s="1143"/>
      <c r="NR10" s="1138"/>
      <c r="NS10" s="1139"/>
      <c r="NT10" s="1139"/>
      <c r="NU10" s="1139"/>
      <c r="NV10" s="1139"/>
      <c r="NW10" s="1139"/>
      <c r="NX10" s="1140"/>
      <c r="NY10" s="1140"/>
      <c r="NZ10" s="1140"/>
      <c r="OA10" s="1140"/>
      <c r="OB10" s="1143"/>
      <c r="OC10" s="1140"/>
      <c r="OD10" s="1140"/>
      <c r="OE10" s="1140"/>
      <c r="OF10" s="1143"/>
      <c r="OJ10" s="1138"/>
      <c r="OK10" s="1139"/>
      <c r="OL10" s="1139"/>
      <c r="OM10" s="1139"/>
      <c r="ON10" s="1139"/>
      <c r="OO10" s="1139"/>
      <c r="OP10" s="1140"/>
      <c r="OQ10" s="1140"/>
      <c r="OR10" s="1140"/>
      <c r="OS10" s="1140"/>
      <c r="OT10" s="1143"/>
      <c r="OU10" s="1140"/>
      <c r="OV10" s="1140"/>
      <c r="OW10" s="1140"/>
      <c r="OX10" s="1143"/>
      <c r="PB10" s="1138"/>
      <c r="PC10" s="1139"/>
      <c r="PD10" s="1139"/>
      <c r="PE10" s="1139"/>
      <c r="PF10" s="1139"/>
      <c r="PG10" s="1139"/>
      <c r="PH10" s="1140"/>
      <c r="PI10" s="1140"/>
      <c r="PJ10" s="1140"/>
      <c r="PK10" s="1140"/>
      <c r="PL10" s="1143"/>
      <c r="PM10" s="1140"/>
      <c r="PN10" s="1140"/>
      <c r="PO10" s="1140"/>
      <c r="PP10" s="1143"/>
      <c r="PT10" s="1138"/>
      <c r="PU10" s="1139"/>
      <c r="PV10" s="1139"/>
      <c r="PW10" s="1139"/>
      <c r="PX10" s="1139"/>
      <c r="PY10" s="1139"/>
      <c r="PZ10" s="1140"/>
      <c r="QA10" s="1140"/>
      <c r="QB10" s="1140"/>
      <c r="QC10" s="1140"/>
      <c r="QD10" s="1143"/>
      <c r="QE10" s="1140"/>
      <c r="QF10" s="1140"/>
      <c r="QG10" s="1140"/>
      <c r="QH10" s="1143"/>
      <c r="QJ10" s="328"/>
      <c r="QK10" s="328"/>
      <c r="QL10" s="328"/>
      <c r="QM10" s="1138"/>
      <c r="QN10" s="1139"/>
      <c r="QO10" s="1139"/>
      <c r="QP10" s="1139"/>
      <c r="QQ10" s="1139"/>
      <c r="QR10" s="1139"/>
      <c r="QS10" s="1140"/>
      <c r="QT10" s="1140"/>
      <c r="QU10" s="1140"/>
      <c r="QV10" s="1140"/>
      <c r="QW10" s="1143"/>
      <c r="QX10" s="1140"/>
      <c r="QY10" s="1140"/>
      <c r="QZ10" s="1140"/>
      <c r="RA10" s="1143"/>
      <c r="RB10" s="393"/>
      <c r="RC10" s="659"/>
      <c r="RE10" s="1138"/>
      <c r="RF10" s="1139"/>
      <c r="RG10" s="1139"/>
      <c r="RH10" s="1139"/>
      <c r="RI10" s="1139"/>
      <c r="RJ10" s="1139"/>
      <c r="RK10" s="1140"/>
      <c r="RL10" s="1140"/>
      <c r="RM10" s="1140"/>
      <c r="RN10" s="1140"/>
      <c r="RO10" s="1143"/>
      <c r="RP10" s="1140"/>
      <c r="RQ10" s="1140"/>
      <c r="RR10" s="1140"/>
      <c r="RS10" s="1143"/>
      <c r="RT10" s="328"/>
      <c r="RU10" s="328"/>
      <c r="RV10" s="328"/>
      <c r="RW10" s="1138"/>
      <c r="RX10" s="1139"/>
      <c r="RY10" s="1139"/>
      <c r="RZ10" s="1139"/>
      <c r="SA10" s="1139"/>
      <c r="SB10" s="1139"/>
      <c r="SC10" s="1140"/>
      <c r="SD10" s="1140"/>
      <c r="SE10" s="1140"/>
      <c r="SF10" s="1140"/>
      <c r="SG10" s="1143"/>
      <c r="SH10" s="1140"/>
      <c r="SI10" s="1140"/>
      <c r="SJ10" s="1140"/>
      <c r="SK10" s="1143"/>
      <c r="SL10" s="328"/>
      <c r="SM10" s="328"/>
      <c r="SN10" s="328"/>
      <c r="SO10" s="1138"/>
      <c r="SP10" s="1139"/>
      <c r="SQ10" s="1139"/>
      <c r="SR10" s="1139"/>
      <c r="SS10" s="1139"/>
      <c r="ST10" s="1139"/>
      <c r="SU10" s="1140"/>
      <c r="SV10" s="1140"/>
      <c r="SW10" s="1140"/>
      <c r="SX10" s="1140"/>
      <c r="SY10" s="1143"/>
      <c r="SZ10" s="1140"/>
      <c r="TA10" s="1140"/>
      <c r="TB10" s="1140"/>
      <c r="TC10" s="1143"/>
      <c r="TE10" s="328"/>
      <c r="TF10" s="328"/>
      <c r="TG10" s="328"/>
      <c r="TH10" s="1138"/>
      <c r="TI10" s="1139"/>
      <c r="TJ10" s="1139"/>
      <c r="TK10" s="1139"/>
      <c r="TL10" s="1139"/>
      <c r="TM10" s="1139"/>
      <c r="TN10" s="1140"/>
      <c r="TO10" s="1140"/>
      <c r="TP10" s="1140"/>
      <c r="TQ10" s="1140"/>
      <c r="TR10" s="1143"/>
      <c r="TS10" s="1140"/>
      <c r="TT10" s="1140"/>
      <c r="TU10" s="1140"/>
      <c r="TV10" s="1143"/>
      <c r="TW10"/>
      <c r="TX10" s="328"/>
      <c r="TY10" s="328"/>
      <c r="TZ10" s="328"/>
      <c r="UA10" s="1138"/>
      <c r="UB10" s="1139"/>
      <c r="UC10" s="1139"/>
      <c r="UD10" s="1139"/>
      <c r="UE10" s="1139"/>
      <c r="UF10" s="1139"/>
      <c r="UG10" s="1140"/>
      <c r="UH10" s="1140"/>
      <c r="UI10" s="1140"/>
      <c r="UJ10" s="1140"/>
      <c r="UK10" s="1143"/>
      <c r="UL10" s="1140"/>
      <c r="UM10" s="1140"/>
      <c r="UN10" s="1140"/>
      <c r="UO10" s="1143"/>
      <c r="UQ10" s="328"/>
      <c r="UR10" s="328"/>
      <c r="US10" s="328"/>
      <c r="UT10" s="1138"/>
      <c r="UU10" s="1139"/>
      <c r="UV10" s="1139"/>
      <c r="UW10" s="1139"/>
      <c r="UX10" s="1139"/>
      <c r="UY10" s="1139"/>
      <c r="UZ10" s="1140"/>
      <c r="VA10" s="1140"/>
      <c r="VB10" s="1140"/>
      <c r="VC10" s="1140"/>
      <c r="VD10" s="1143"/>
      <c r="VE10" s="1140"/>
      <c r="VF10" s="1140"/>
      <c r="VG10" s="1140"/>
      <c r="VH10" s="1143"/>
      <c r="VJ10" s="127"/>
      <c r="VK10" s="127"/>
      <c r="VL10" s="127"/>
      <c r="VM10" s="1138"/>
      <c r="VN10" s="1139"/>
      <c r="VO10" s="1139"/>
      <c r="VP10" s="1139"/>
      <c r="VQ10" s="1139"/>
      <c r="VR10" s="1139"/>
      <c r="VS10" s="1140"/>
      <c r="VT10" s="1140"/>
      <c r="VU10" s="1140"/>
      <c r="VV10" s="1140"/>
      <c r="VW10" s="1143"/>
      <c r="VY10" s="328"/>
      <c r="VZ10" s="328"/>
      <c r="WA10" s="328"/>
      <c r="WB10" s="1138"/>
      <c r="WC10" s="1139"/>
      <c r="WD10" s="1139"/>
      <c r="WE10" s="1139"/>
      <c r="WF10" s="1139"/>
      <c r="WG10" s="1139"/>
      <c r="WH10" s="1140"/>
      <c r="WI10" s="1140"/>
      <c r="WJ10" s="1140"/>
      <c r="WK10" s="1140"/>
      <c r="WL10" s="1143"/>
    </row>
    <row r="11" spans="1:610" x14ac:dyDescent="0.35">
      <c r="A11" s="127"/>
      <c r="C11" s="127"/>
      <c r="D11" s="21"/>
      <c r="E11" s="387"/>
      <c r="F11" s="1141"/>
      <c r="G11" s="1142"/>
      <c r="H11" s="661" t="s">
        <v>937</v>
      </c>
      <c r="I11" s="101">
        <v>2024</v>
      </c>
      <c r="J11" s="660" t="s">
        <v>12</v>
      </c>
      <c r="K11" s="393">
        <v>2025</v>
      </c>
      <c r="L11" s="660" t="s">
        <v>12</v>
      </c>
      <c r="M11" s="393">
        <v>2026</v>
      </c>
      <c r="N11" s="1117" t="s">
        <v>12</v>
      </c>
      <c r="O11" s="393"/>
      <c r="P11" s="660" t="s">
        <v>12</v>
      </c>
      <c r="Q11" s="393"/>
      <c r="R11" s="1117" t="s">
        <v>12</v>
      </c>
      <c r="S11" s="127"/>
      <c r="T11" s="127"/>
      <c r="U11" s="127"/>
      <c r="V11" s="21"/>
      <c r="W11" s="387"/>
      <c r="X11" s="1141"/>
      <c r="Y11" s="1142"/>
      <c r="Z11" s="661" t="s">
        <v>937</v>
      </c>
      <c r="AA11" s="101">
        <v>2024</v>
      </c>
      <c r="AB11" s="660" t="s">
        <v>12</v>
      </c>
      <c r="AC11" s="393">
        <v>2025</v>
      </c>
      <c r="AD11" s="660" t="s">
        <v>12</v>
      </c>
      <c r="AE11" s="393">
        <v>2026</v>
      </c>
      <c r="AF11" s="1117" t="s">
        <v>12</v>
      </c>
      <c r="AG11" s="393"/>
      <c r="AH11" s="660" t="s">
        <v>12</v>
      </c>
      <c r="AI11" s="393"/>
      <c r="AJ11" s="1117" t="s">
        <v>12</v>
      </c>
      <c r="AK11" s="127"/>
      <c r="AL11" s="127"/>
      <c r="AM11" s="127"/>
      <c r="AN11" s="21"/>
      <c r="AO11" s="387"/>
      <c r="AP11" s="1141"/>
      <c r="AQ11" s="1142"/>
      <c r="AR11" s="661" t="s">
        <v>937</v>
      </c>
      <c r="AS11" s="101">
        <v>2024</v>
      </c>
      <c r="AT11" s="660" t="s">
        <v>12</v>
      </c>
      <c r="AU11" s="393">
        <v>2025</v>
      </c>
      <c r="AV11" s="660" t="s">
        <v>12</v>
      </c>
      <c r="AW11" s="393">
        <v>2026</v>
      </c>
      <c r="AX11" s="1117" t="s">
        <v>12</v>
      </c>
      <c r="AY11" s="393"/>
      <c r="AZ11" s="660" t="s">
        <v>12</v>
      </c>
      <c r="BA11" s="393"/>
      <c r="BB11" s="1117" t="s">
        <v>12</v>
      </c>
      <c r="BC11" s="127"/>
      <c r="BD11" s="127"/>
      <c r="BE11" s="127"/>
      <c r="BF11" s="21"/>
      <c r="BG11" s="387"/>
      <c r="BH11" s="1141"/>
      <c r="BI11" s="1142"/>
      <c r="BJ11" s="661" t="s">
        <v>937</v>
      </c>
      <c r="BK11" s="101">
        <v>2024</v>
      </c>
      <c r="BL11" s="660" t="s">
        <v>12</v>
      </c>
      <c r="BM11" s="393">
        <v>2025</v>
      </c>
      <c r="BN11" s="660" t="s">
        <v>12</v>
      </c>
      <c r="BO11" s="393">
        <v>2026</v>
      </c>
      <c r="BP11" s="1117" t="s">
        <v>12</v>
      </c>
      <c r="BQ11" s="393"/>
      <c r="BR11" s="660" t="s">
        <v>12</v>
      </c>
      <c r="BS11" s="393"/>
      <c r="BT11" s="1117" t="s">
        <v>12</v>
      </c>
      <c r="BU11" s="127"/>
      <c r="BV11" s="127"/>
      <c r="BW11" s="127"/>
      <c r="BX11" s="21"/>
      <c r="BY11" s="387"/>
      <c r="BZ11" s="1141"/>
      <c r="CA11" s="1142"/>
      <c r="CB11" s="661" t="s">
        <v>937</v>
      </c>
      <c r="CC11" s="101">
        <v>2024</v>
      </c>
      <c r="CD11" s="660" t="s">
        <v>12</v>
      </c>
      <c r="CE11" s="393">
        <v>2025</v>
      </c>
      <c r="CF11" s="660" t="s">
        <v>12</v>
      </c>
      <c r="CG11" s="393">
        <v>2026</v>
      </c>
      <c r="CH11" s="1117" t="s">
        <v>12</v>
      </c>
      <c r="CI11" s="393"/>
      <c r="CJ11" s="660" t="s">
        <v>12</v>
      </c>
      <c r="CK11" s="393"/>
      <c r="CL11" s="1117" t="s">
        <v>12</v>
      </c>
      <c r="CM11" s="127"/>
      <c r="CN11" s="127"/>
      <c r="CO11" s="127"/>
      <c r="CP11" s="21"/>
      <c r="CQ11" s="387"/>
      <c r="CR11" s="1141"/>
      <c r="CS11" s="1142"/>
      <c r="CT11" s="661" t="s">
        <v>937</v>
      </c>
      <c r="CU11" s="101">
        <v>2024</v>
      </c>
      <c r="CV11" s="660" t="s">
        <v>12</v>
      </c>
      <c r="CW11" s="393">
        <v>2025</v>
      </c>
      <c r="CX11" s="660" t="s">
        <v>12</v>
      </c>
      <c r="CY11" s="393">
        <v>2026</v>
      </c>
      <c r="CZ11" s="1117" t="s">
        <v>12</v>
      </c>
      <c r="DA11" s="393"/>
      <c r="DB11" s="660" t="s">
        <v>12</v>
      </c>
      <c r="DC11" s="393"/>
      <c r="DD11" s="1117" t="s">
        <v>12</v>
      </c>
      <c r="DE11" s="127"/>
      <c r="DF11" s="127"/>
      <c r="DG11" s="127"/>
      <c r="DH11" s="21"/>
      <c r="DI11" s="387"/>
      <c r="DJ11" s="1141"/>
      <c r="DK11" s="1142"/>
      <c r="DL11" s="661" t="s">
        <v>937</v>
      </c>
      <c r="DM11" s="101">
        <v>2024</v>
      </c>
      <c r="DN11" s="660" t="s">
        <v>12</v>
      </c>
      <c r="DO11" s="393">
        <v>2025</v>
      </c>
      <c r="DP11" s="660" t="s">
        <v>12</v>
      </c>
      <c r="DQ11" s="393">
        <v>2026</v>
      </c>
      <c r="DR11" s="1117" t="s">
        <v>12</v>
      </c>
      <c r="DS11" s="393"/>
      <c r="DT11" s="660" t="s">
        <v>12</v>
      </c>
      <c r="DU11" s="393"/>
      <c r="DV11" s="1117" t="s">
        <v>12</v>
      </c>
      <c r="DW11" s="127"/>
      <c r="DX11" s="127"/>
      <c r="DY11" s="127"/>
      <c r="DZ11" s="21"/>
      <c r="EA11" s="387"/>
      <c r="EB11" s="1141"/>
      <c r="EC11" s="1142"/>
      <c r="ED11" s="661" t="s">
        <v>937</v>
      </c>
      <c r="EE11" s="101">
        <v>2024</v>
      </c>
      <c r="EF11" s="660" t="s">
        <v>12</v>
      </c>
      <c r="EG11" s="393">
        <v>2025</v>
      </c>
      <c r="EH11" s="660" t="s">
        <v>12</v>
      </c>
      <c r="EI11" s="393">
        <v>2026</v>
      </c>
      <c r="EJ11" s="1117" t="s">
        <v>12</v>
      </c>
      <c r="EK11" s="393"/>
      <c r="EL11" s="660" t="s">
        <v>12</v>
      </c>
      <c r="EM11" s="393"/>
      <c r="EN11" s="1117" t="s">
        <v>12</v>
      </c>
      <c r="EO11" s="127"/>
      <c r="EP11" s="127"/>
      <c r="EQ11" s="127"/>
      <c r="ER11" s="21"/>
      <c r="ES11" s="387"/>
      <c r="ET11" s="1141"/>
      <c r="EU11" s="1142"/>
      <c r="EV11" s="661" t="s">
        <v>937</v>
      </c>
      <c r="EW11" s="101">
        <v>2024</v>
      </c>
      <c r="EX11" s="660" t="s">
        <v>12</v>
      </c>
      <c r="EY11" s="393">
        <v>2025</v>
      </c>
      <c r="EZ11" s="660" t="s">
        <v>12</v>
      </c>
      <c r="FA11" s="393">
        <v>2026</v>
      </c>
      <c r="FB11" s="1117" t="s">
        <v>12</v>
      </c>
      <c r="FC11" s="393"/>
      <c r="FD11" s="660" t="s">
        <v>12</v>
      </c>
      <c r="FE11" s="393"/>
      <c r="FF11" s="1117" t="s">
        <v>12</v>
      </c>
      <c r="FG11" s="127"/>
      <c r="FH11" s="127"/>
      <c r="FI11" s="127"/>
      <c r="FJ11" s="21"/>
      <c r="FK11" s="387"/>
      <c r="FL11" s="1141"/>
      <c r="FM11" s="1142"/>
      <c r="FN11" s="661" t="s">
        <v>937</v>
      </c>
      <c r="FO11" s="101">
        <v>2024</v>
      </c>
      <c r="FP11" s="660" t="s">
        <v>12</v>
      </c>
      <c r="FQ11" s="393">
        <v>2025</v>
      </c>
      <c r="FR11" s="660" t="s">
        <v>12</v>
      </c>
      <c r="FS11" s="393">
        <v>2026</v>
      </c>
      <c r="FT11" s="1117" t="s">
        <v>12</v>
      </c>
      <c r="FU11" s="393"/>
      <c r="FV11" s="660" t="s">
        <v>12</v>
      </c>
      <c r="FW11" s="393"/>
      <c r="FX11" s="1117" t="s">
        <v>12</v>
      </c>
      <c r="FY11" s="127"/>
      <c r="FZ11" s="127"/>
      <c r="GA11" s="127"/>
      <c r="GB11" s="21"/>
      <c r="GC11" s="387"/>
      <c r="GD11" s="1141"/>
      <c r="GE11" s="1142"/>
      <c r="GF11" s="661" t="s">
        <v>937</v>
      </c>
      <c r="GG11" s="101">
        <v>2024</v>
      </c>
      <c r="GH11" s="660" t="s">
        <v>12</v>
      </c>
      <c r="GI11" s="393">
        <v>2025</v>
      </c>
      <c r="GJ11" s="660" t="s">
        <v>12</v>
      </c>
      <c r="GK11" s="393">
        <v>2026</v>
      </c>
      <c r="GL11" s="1117" t="s">
        <v>12</v>
      </c>
      <c r="GM11" s="393"/>
      <c r="GN11" s="660" t="s">
        <v>12</v>
      </c>
      <c r="GO11" s="393"/>
      <c r="GP11" s="1117" t="s">
        <v>12</v>
      </c>
      <c r="GQ11" s="127"/>
      <c r="GR11" s="127"/>
      <c r="GS11" s="127"/>
      <c r="GT11" s="21"/>
      <c r="GU11" s="387"/>
      <c r="GV11" s="1141"/>
      <c r="GW11" s="1142"/>
      <c r="GX11" s="661" t="s">
        <v>937</v>
      </c>
      <c r="GY11" s="101">
        <v>2024</v>
      </c>
      <c r="GZ11" s="660" t="s">
        <v>12</v>
      </c>
      <c r="HA11" s="393">
        <v>2025</v>
      </c>
      <c r="HB11" s="660" t="s">
        <v>12</v>
      </c>
      <c r="HC11" s="393">
        <v>2026</v>
      </c>
      <c r="HD11" s="1117" t="s">
        <v>12</v>
      </c>
      <c r="HE11" s="393"/>
      <c r="HF11" s="660" t="s">
        <v>12</v>
      </c>
      <c r="HG11" s="393"/>
      <c r="HH11" s="1117" t="s">
        <v>12</v>
      </c>
      <c r="HI11" s="127"/>
      <c r="HJ11" s="127"/>
      <c r="HK11" s="127"/>
      <c r="HL11" s="21"/>
      <c r="HM11" s="387"/>
      <c r="HN11" s="1141"/>
      <c r="HO11" s="1142"/>
      <c r="HP11" s="661" t="s">
        <v>937</v>
      </c>
      <c r="HQ11" s="101">
        <v>2024</v>
      </c>
      <c r="HR11" s="660" t="s">
        <v>12</v>
      </c>
      <c r="HS11" s="393">
        <v>2025</v>
      </c>
      <c r="HT11" s="660" t="s">
        <v>12</v>
      </c>
      <c r="HU11" s="393">
        <v>2026</v>
      </c>
      <c r="HV11" s="1117" t="s">
        <v>12</v>
      </c>
      <c r="HW11" s="393"/>
      <c r="HX11" s="660" t="s">
        <v>12</v>
      </c>
      <c r="HY11" s="393"/>
      <c r="HZ11" s="1117" t="s">
        <v>12</v>
      </c>
      <c r="IA11" s="127"/>
      <c r="IB11" s="127"/>
      <c r="IC11" s="127"/>
      <c r="ID11" s="21"/>
      <c r="IE11" s="387"/>
      <c r="IF11" s="1141"/>
      <c r="IG11" s="1142"/>
      <c r="IH11" s="661" t="s">
        <v>937</v>
      </c>
      <c r="II11" s="101">
        <v>2024</v>
      </c>
      <c r="IJ11" s="660" t="s">
        <v>12</v>
      </c>
      <c r="IK11" s="393">
        <v>2025</v>
      </c>
      <c r="IL11" s="660" t="s">
        <v>12</v>
      </c>
      <c r="IM11" s="393">
        <v>2026</v>
      </c>
      <c r="IN11" s="1117" t="s">
        <v>12</v>
      </c>
      <c r="IO11" s="393"/>
      <c r="IP11" s="660" t="s">
        <v>12</v>
      </c>
      <c r="IQ11" s="393"/>
      <c r="IR11" s="1117" t="s">
        <v>12</v>
      </c>
      <c r="IS11" s="127"/>
      <c r="IT11" s="127"/>
      <c r="IU11" s="127"/>
      <c r="IV11" s="21"/>
      <c r="IW11" s="387"/>
      <c r="IX11" s="1141"/>
      <c r="IY11" s="1142"/>
      <c r="IZ11" s="661" t="s">
        <v>937</v>
      </c>
      <c r="JA11" s="101">
        <v>2024</v>
      </c>
      <c r="JB11" s="660" t="s">
        <v>12</v>
      </c>
      <c r="JC11" s="393">
        <v>2025</v>
      </c>
      <c r="JD11" s="660" t="s">
        <v>12</v>
      </c>
      <c r="JE11" s="393">
        <v>2026</v>
      </c>
      <c r="JF11" s="1117" t="s">
        <v>12</v>
      </c>
      <c r="JG11" s="393"/>
      <c r="JH11" s="660" t="s">
        <v>12</v>
      </c>
      <c r="JI11" s="393"/>
      <c r="JJ11" s="1117" t="s">
        <v>12</v>
      </c>
      <c r="JK11" s="127"/>
      <c r="JL11" s="127"/>
      <c r="JM11" s="127"/>
      <c r="JN11" s="21"/>
      <c r="JO11" s="387"/>
      <c r="JP11" s="1141"/>
      <c r="JQ11" s="1142"/>
      <c r="JR11" s="661" t="s">
        <v>937</v>
      </c>
      <c r="JS11" s="101">
        <v>2024</v>
      </c>
      <c r="JT11" s="660" t="s">
        <v>12</v>
      </c>
      <c r="JU11" s="393">
        <v>2025</v>
      </c>
      <c r="JV11" s="660" t="s">
        <v>12</v>
      </c>
      <c r="JW11" s="393">
        <v>2026</v>
      </c>
      <c r="JX11" s="1117" t="s">
        <v>12</v>
      </c>
      <c r="JY11" s="393"/>
      <c r="JZ11" s="660" t="s">
        <v>12</v>
      </c>
      <c r="KA11" s="393"/>
      <c r="KB11" s="1117" t="s">
        <v>12</v>
      </c>
      <c r="KC11" s="127"/>
      <c r="KD11" s="127"/>
      <c r="KE11" s="127"/>
      <c r="KF11" s="21"/>
      <c r="KG11" s="387"/>
      <c r="KH11" s="1141"/>
      <c r="KI11" s="1142"/>
      <c r="KJ11" s="661" t="s">
        <v>937</v>
      </c>
      <c r="KK11" s="101">
        <v>2024</v>
      </c>
      <c r="KL11" s="660" t="s">
        <v>12</v>
      </c>
      <c r="KM11" s="393">
        <v>2025</v>
      </c>
      <c r="KN11" s="660" t="s">
        <v>12</v>
      </c>
      <c r="KO11" s="393">
        <v>2026</v>
      </c>
      <c r="KP11" s="1117" t="s">
        <v>12</v>
      </c>
      <c r="KQ11" s="393"/>
      <c r="KR11" s="660" t="s">
        <v>12</v>
      </c>
      <c r="KS11" s="393"/>
      <c r="KT11" s="1117" t="s">
        <v>12</v>
      </c>
      <c r="KU11" s="127"/>
      <c r="KV11" s="127"/>
      <c r="KW11" s="127"/>
      <c r="KX11" s="21"/>
      <c r="KY11" s="387"/>
      <c r="KZ11" s="1141"/>
      <c r="LA11" s="1142"/>
      <c r="LB11" s="661" t="s">
        <v>937</v>
      </c>
      <c r="LC11" s="101">
        <v>2024</v>
      </c>
      <c r="LD11" s="660" t="s">
        <v>12</v>
      </c>
      <c r="LE11" s="393">
        <v>2025</v>
      </c>
      <c r="LF11" s="660" t="s">
        <v>12</v>
      </c>
      <c r="LG11" s="393">
        <v>2026</v>
      </c>
      <c r="LH11" s="1117" t="s">
        <v>12</v>
      </c>
      <c r="LI11" s="393"/>
      <c r="LJ11" s="660" t="s">
        <v>12</v>
      </c>
      <c r="LK11" s="393"/>
      <c r="LL11" s="1117" t="s">
        <v>12</v>
      </c>
      <c r="LP11" s="21"/>
      <c r="LQ11" s="387"/>
      <c r="LR11" s="1141"/>
      <c r="LS11" s="1142"/>
      <c r="LT11" s="661" t="s">
        <v>937</v>
      </c>
      <c r="LU11" s="101">
        <v>2024</v>
      </c>
      <c r="LV11" s="660" t="s">
        <v>12</v>
      </c>
      <c r="LW11" s="393">
        <v>2025</v>
      </c>
      <c r="LX11" s="660" t="s">
        <v>12</v>
      </c>
      <c r="LY11" s="393">
        <v>2026</v>
      </c>
      <c r="LZ11" s="1117" t="s">
        <v>12</v>
      </c>
      <c r="MA11" s="393"/>
      <c r="MB11" s="660" t="s">
        <v>12</v>
      </c>
      <c r="MC11" s="393"/>
      <c r="MD11" s="1117" t="s">
        <v>12</v>
      </c>
      <c r="MH11" s="21"/>
      <c r="MI11" s="387"/>
      <c r="MJ11" s="1141"/>
      <c r="MK11" s="1142"/>
      <c r="ML11" s="661" t="s">
        <v>937</v>
      </c>
      <c r="MM11" s="101">
        <v>2024</v>
      </c>
      <c r="MN11" s="660" t="s">
        <v>12</v>
      </c>
      <c r="MO11" s="393">
        <v>2025</v>
      </c>
      <c r="MP11" s="660" t="s">
        <v>12</v>
      </c>
      <c r="MQ11" s="393">
        <v>2026</v>
      </c>
      <c r="MR11" s="1117" t="s">
        <v>12</v>
      </c>
      <c r="MS11" s="393"/>
      <c r="MT11" s="660" t="s">
        <v>12</v>
      </c>
      <c r="MU11" s="393"/>
      <c r="MV11" s="1117" t="s">
        <v>12</v>
      </c>
      <c r="MW11" s="127"/>
      <c r="MX11" s="127"/>
      <c r="MY11" s="127"/>
      <c r="MZ11" s="21"/>
      <c r="NA11" s="387"/>
      <c r="NB11" s="1141"/>
      <c r="NC11" s="1142"/>
      <c r="ND11" s="661" t="s">
        <v>937</v>
      </c>
      <c r="NE11" s="101">
        <v>2024</v>
      </c>
      <c r="NF11" s="660" t="s">
        <v>12</v>
      </c>
      <c r="NG11" s="393">
        <v>2025</v>
      </c>
      <c r="NH11" s="660" t="s">
        <v>12</v>
      </c>
      <c r="NI11" s="393">
        <v>2026</v>
      </c>
      <c r="NJ11" s="1117" t="s">
        <v>12</v>
      </c>
      <c r="NK11" s="393"/>
      <c r="NL11" s="660" t="s">
        <v>12</v>
      </c>
      <c r="NM11" s="393"/>
      <c r="NN11" s="1117" t="s">
        <v>12</v>
      </c>
      <c r="NR11" s="21"/>
      <c r="NS11" s="387"/>
      <c r="NT11" s="1141"/>
      <c r="NU11" s="1142"/>
      <c r="NV11" s="661" t="s">
        <v>937</v>
      </c>
      <c r="NW11" s="101">
        <v>2024</v>
      </c>
      <c r="NX11" s="660" t="s">
        <v>12</v>
      </c>
      <c r="NY11" s="393">
        <v>2025</v>
      </c>
      <c r="NZ11" s="660" t="s">
        <v>12</v>
      </c>
      <c r="OA11" s="393">
        <v>2026</v>
      </c>
      <c r="OB11" s="1117" t="s">
        <v>12</v>
      </c>
      <c r="OC11" s="393"/>
      <c r="OD11" s="660" t="s">
        <v>12</v>
      </c>
      <c r="OE11" s="393"/>
      <c r="OF11" s="1117" t="s">
        <v>12</v>
      </c>
      <c r="OJ11" s="21"/>
      <c r="OK11" s="387"/>
      <c r="OL11" s="1141"/>
      <c r="OM11" s="1142"/>
      <c r="ON11" s="661" t="s">
        <v>937</v>
      </c>
      <c r="OO11" s="101">
        <v>2024</v>
      </c>
      <c r="OP11" s="660" t="s">
        <v>12</v>
      </c>
      <c r="OQ11" s="393">
        <v>2025</v>
      </c>
      <c r="OR11" s="660" t="s">
        <v>12</v>
      </c>
      <c r="OS11" s="393">
        <v>2026</v>
      </c>
      <c r="OT11" s="1117" t="s">
        <v>12</v>
      </c>
      <c r="OU11" s="393"/>
      <c r="OV11" s="660" t="s">
        <v>12</v>
      </c>
      <c r="OW11" s="393"/>
      <c r="OX11" s="1117" t="s">
        <v>12</v>
      </c>
      <c r="PB11" s="21"/>
      <c r="PC11" s="387"/>
      <c r="PD11" s="1141"/>
      <c r="PE11" s="1142"/>
      <c r="PF11" s="661" t="s">
        <v>937</v>
      </c>
      <c r="PG11" s="101">
        <v>2024</v>
      </c>
      <c r="PH11" s="660" t="s">
        <v>12</v>
      </c>
      <c r="PI11" s="393">
        <v>2025</v>
      </c>
      <c r="PJ11" s="660" t="s">
        <v>12</v>
      </c>
      <c r="PK11" s="393">
        <v>2026</v>
      </c>
      <c r="PL11" s="1117" t="s">
        <v>12</v>
      </c>
      <c r="PM11" s="393"/>
      <c r="PN11" s="660" t="s">
        <v>12</v>
      </c>
      <c r="PO11" s="393"/>
      <c r="PP11" s="1117" t="s">
        <v>12</v>
      </c>
      <c r="PT11" s="21"/>
      <c r="PU11" s="387"/>
      <c r="PV11" s="1141"/>
      <c r="PW11" s="1142"/>
      <c r="PX11" s="661" t="s">
        <v>937</v>
      </c>
      <c r="PY11" s="101">
        <v>2024</v>
      </c>
      <c r="PZ11" s="660" t="s">
        <v>12</v>
      </c>
      <c r="QA11" s="393">
        <v>2025</v>
      </c>
      <c r="QB11" s="660" t="s">
        <v>12</v>
      </c>
      <c r="QC11" s="393">
        <v>2026</v>
      </c>
      <c r="QD11" s="1117" t="s">
        <v>12</v>
      </c>
      <c r="QE11" s="393"/>
      <c r="QF11" s="660" t="s">
        <v>12</v>
      </c>
      <c r="QG11" s="393"/>
      <c r="QH11" s="1117" t="s">
        <v>12</v>
      </c>
      <c r="QJ11" s="328"/>
      <c r="QK11" s="328"/>
      <c r="QL11" s="328"/>
      <c r="QM11" s="21"/>
      <c r="QN11" s="387"/>
      <c r="QO11" s="1141"/>
      <c r="QP11" s="1142"/>
      <c r="QQ11" s="661" t="s">
        <v>937</v>
      </c>
      <c r="QR11" s="101">
        <v>2024</v>
      </c>
      <c r="QS11" s="660" t="s">
        <v>12</v>
      </c>
      <c r="QT11" s="393">
        <v>2025</v>
      </c>
      <c r="QU11" s="660" t="s">
        <v>12</v>
      </c>
      <c r="QV11" s="393">
        <v>2026</v>
      </c>
      <c r="QW11" s="1117" t="s">
        <v>12</v>
      </c>
      <c r="QX11" s="393"/>
      <c r="QY11" s="660" t="s">
        <v>12</v>
      </c>
      <c r="QZ11" s="393"/>
      <c r="RA11" s="1117" t="s">
        <v>12</v>
      </c>
      <c r="RB11" s="47"/>
      <c r="RC11" s="7"/>
      <c r="RE11" s="21"/>
      <c r="RF11" s="387"/>
      <c r="RG11" s="1141"/>
      <c r="RH11" s="1142"/>
      <c r="RI11" s="661" t="s">
        <v>937</v>
      </c>
      <c r="RJ11" s="101">
        <v>2024</v>
      </c>
      <c r="RK11" s="660" t="s">
        <v>12</v>
      </c>
      <c r="RL11" s="393">
        <v>2025</v>
      </c>
      <c r="RM11" s="660" t="s">
        <v>12</v>
      </c>
      <c r="RN11" s="393">
        <v>2026</v>
      </c>
      <c r="RO11" s="1117" t="s">
        <v>12</v>
      </c>
      <c r="RP11" s="393"/>
      <c r="RQ11" s="660" t="s">
        <v>12</v>
      </c>
      <c r="RR11" s="393"/>
      <c r="RS11" s="1117" t="s">
        <v>12</v>
      </c>
      <c r="RT11" s="328"/>
      <c r="RU11" s="328"/>
      <c r="RV11" s="328"/>
      <c r="RW11" s="21"/>
      <c r="RX11" s="387"/>
      <c r="RY11" s="1141"/>
      <c r="RZ11" s="1142"/>
      <c r="SA11" s="661" t="s">
        <v>937</v>
      </c>
      <c r="SB11" s="101">
        <v>2024</v>
      </c>
      <c r="SC11" s="660" t="s">
        <v>12</v>
      </c>
      <c r="SD11" s="393">
        <v>2025</v>
      </c>
      <c r="SE11" s="660" t="s">
        <v>12</v>
      </c>
      <c r="SF11" s="393">
        <v>2026</v>
      </c>
      <c r="SG11" s="1117" t="s">
        <v>12</v>
      </c>
      <c r="SH11" s="393"/>
      <c r="SI11" s="660" t="s">
        <v>12</v>
      </c>
      <c r="SJ11" s="393"/>
      <c r="SK11" s="1117" t="s">
        <v>12</v>
      </c>
      <c r="SL11" s="328"/>
      <c r="SM11" s="328"/>
      <c r="SN11" s="328"/>
      <c r="SO11" s="21"/>
      <c r="SP11" s="387"/>
      <c r="SQ11" s="1141"/>
      <c r="SR11" s="1142"/>
      <c r="SS11" s="661" t="s">
        <v>937</v>
      </c>
      <c r="ST11" s="101">
        <v>2024</v>
      </c>
      <c r="SU11" s="660" t="s">
        <v>12</v>
      </c>
      <c r="SV11" s="393">
        <v>2025</v>
      </c>
      <c r="SW11" s="660" t="s">
        <v>12</v>
      </c>
      <c r="SX11" s="393">
        <v>2026</v>
      </c>
      <c r="SY11" s="1117" t="s">
        <v>12</v>
      </c>
      <c r="SZ11" s="393"/>
      <c r="TA11" s="660" t="s">
        <v>12</v>
      </c>
      <c r="TB11" s="393"/>
      <c r="TC11" s="1117" t="s">
        <v>12</v>
      </c>
      <c r="TE11" s="328"/>
      <c r="TF11" s="328"/>
      <c r="TG11" s="328"/>
      <c r="TH11" s="21"/>
      <c r="TI11" s="387"/>
      <c r="TJ11" s="1141"/>
      <c r="TK11" s="1142"/>
      <c r="TL11" s="661" t="s">
        <v>937</v>
      </c>
      <c r="TM11" s="101">
        <v>2024</v>
      </c>
      <c r="TN11" s="660" t="s">
        <v>12</v>
      </c>
      <c r="TO11" s="393">
        <v>2025</v>
      </c>
      <c r="TP11" s="660" t="s">
        <v>12</v>
      </c>
      <c r="TQ11" s="393">
        <v>2026</v>
      </c>
      <c r="TR11" s="1117" t="s">
        <v>12</v>
      </c>
      <c r="TS11" s="393"/>
      <c r="TT11" s="660" t="s">
        <v>12</v>
      </c>
      <c r="TU11" s="393"/>
      <c r="TV11" s="1117" t="s">
        <v>12</v>
      </c>
      <c r="TW11"/>
      <c r="TX11" s="328"/>
      <c r="TY11" s="328"/>
      <c r="TZ11" s="328"/>
      <c r="UA11" s="21"/>
      <c r="UB11" s="387"/>
      <c r="UC11" s="1141"/>
      <c r="UD11" s="1142"/>
      <c r="UE11" s="661" t="s">
        <v>937</v>
      </c>
      <c r="UF11" s="101">
        <v>2024</v>
      </c>
      <c r="UG11" s="660" t="s">
        <v>12</v>
      </c>
      <c r="UH11" s="393">
        <v>2025</v>
      </c>
      <c r="UI11" s="660" t="s">
        <v>12</v>
      </c>
      <c r="UJ11" s="393">
        <v>2026</v>
      </c>
      <c r="UK11" s="1117" t="s">
        <v>12</v>
      </c>
      <c r="UL11" s="393"/>
      <c r="UM11" s="660" t="s">
        <v>12</v>
      </c>
      <c r="UN11" s="393"/>
      <c r="UO11" s="1117" t="s">
        <v>12</v>
      </c>
      <c r="UQ11" s="328"/>
      <c r="UR11" s="328"/>
      <c r="US11" s="328"/>
      <c r="UT11" s="21"/>
      <c r="UU11" s="387"/>
      <c r="UV11" s="1141"/>
      <c r="UW11" s="1142"/>
      <c r="UX11" s="661" t="s">
        <v>937</v>
      </c>
      <c r="UY11" s="101">
        <v>2024</v>
      </c>
      <c r="UZ11" s="660" t="s">
        <v>12</v>
      </c>
      <c r="VA11" s="393">
        <v>2025</v>
      </c>
      <c r="VB11" s="660" t="s">
        <v>12</v>
      </c>
      <c r="VC11" s="393">
        <v>2026</v>
      </c>
      <c r="VD11" s="1117" t="s">
        <v>12</v>
      </c>
      <c r="VE11" s="393"/>
      <c r="VF11" s="660" t="s">
        <v>12</v>
      </c>
      <c r="VG11" s="393"/>
      <c r="VH11" s="1117" t="s">
        <v>12</v>
      </c>
      <c r="VJ11" s="127"/>
      <c r="VK11" s="127"/>
      <c r="VL11" s="127"/>
      <c r="VM11" s="21"/>
      <c r="VN11" s="387"/>
      <c r="VO11" s="1141"/>
      <c r="VP11" s="1142"/>
      <c r="VQ11" s="661" t="s">
        <v>937</v>
      </c>
      <c r="VR11" s="101">
        <v>2024</v>
      </c>
      <c r="VS11" s="660" t="s">
        <v>12</v>
      </c>
      <c r="VT11" s="393">
        <v>2025</v>
      </c>
      <c r="VU11" s="660" t="s">
        <v>12</v>
      </c>
      <c r="VV11" s="393">
        <v>2026</v>
      </c>
      <c r="VW11" s="1117" t="s">
        <v>12</v>
      </c>
      <c r="VY11" s="328"/>
      <c r="VZ11" s="328"/>
      <c r="WA11" s="328"/>
      <c r="WB11" s="21"/>
      <c r="WC11" s="387"/>
      <c r="WD11" s="1141"/>
      <c r="WE11" s="1142"/>
      <c r="WF11" s="661" t="s">
        <v>937</v>
      </c>
      <c r="WG11" s="101">
        <v>2024</v>
      </c>
      <c r="WH11" s="660" t="s">
        <v>12</v>
      </c>
      <c r="WI11" s="393">
        <v>2025</v>
      </c>
      <c r="WJ11" s="660" t="s">
        <v>12</v>
      </c>
      <c r="WK11" s="393">
        <v>2026</v>
      </c>
      <c r="WL11" s="1117" t="s">
        <v>12</v>
      </c>
    </row>
    <row r="12" spans="1:610" x14ac:dyDescent="0.35">
      <c r="C12" s="146"/>
      <c r="D12" s="22" t="s">
        <v>936</v>
      </c>
      <c r="E12" s="46"/>
      <c r="F12" s="1118" t="s">
        <v>11</v>
      </c>
      <c r="G12" s="1115" t="s">
        <v>14</v>
      </c>
      <c r="H12" s="7" t="s">
        <v>12</v>
      </c>
      <c r="I12" s="401" t="s">
        <v>36</v>
      </c>
      <c r="J12" s="60" t="s">
        <v>31</v>
      </c>
      <c r="K12" s="47" t="s">
        <v>33</v>
      </c>
      <c r="L12" s="60" t="s">
        <v>31</v>
      </c>
      <c r="M12" s="47" t="s">
        <v>37</v>
      </c>
      <c r="N12" s="1118" t="s">
        <v>31</v>
      </c>
      <c r="O12" s="47" t="s">
        <v>39</v>
      </c>
      <c r="P12" s="60" t="s">
        <v>31</v>
      </c>
      <c r="Q12" s="47" t="s">
        <v>946</v>
      </c>
      <c r="R12" s="1118" t="s">
        <v>31</v>
      </c>
      <c r="U12" s="146"/>
      <c r="V12" s="22" t="s">
        <v>936</v>
      </c>
      <c r="W12" s="46"/>
      <c r="X12" s="1118" t="s">
        <v>11</v>
      </c>
      <c r="Y12" s="1115" t="s">
        <v>14</v>
      </c>
      <c r="Z12" s="7" t="s">
        <v>12</v>
      </c>
      <c r="AA12" s="401" t="s">
        <v>36</v>
      </c>
      <c r="AB12" s="60" t="s">
        <v>31</v>
      </c>
      <c r="AC12" s="47" t="s">
        <v>33</v>
      </c>
      <c r="AD12" s="60" t="s">
        <v>31</v>
      </c>
      <c r="AE12" s="47" t="s">
        <v>37</v>
      </c>
      <c r="AF12" s="1118" t="s">
        <v>31</v>
      </c>
      <c r="AG12" s="47" t="s">
        <v>39</v>
      </c>
      <c r="AH12" s="60" t="s">
        <v>31</v>
      </c>
      <c r="AI12" s="47" t="s">
        <v>946</v>
      </c>
      <c r="AJ12" s="1118" t="s">
        <v>31</v>
      </c>
      <c r="AK12" s="145"/>
      <c r="AL12" s="146"/>
      <c r="AM12" s="146"/>
      <c r="AN12" s="22" t="s">
        <v>936</v>
      </c>
      <c r="AO12" s="46"/>
      <c r="AP12" s="1118" t="s">
        <v>11</v>
      </c>
      <c r="AQ12" s="1115" t="s">
        <v>14</v>
      </c>
      <c r="AR12" s="7" t="s">
        <v>12</v>
      </c>
      <c r="AS12" s="401" t="s">
        <v>36</v>
      </c>
      <c r="AT12" s="60" t="s">
        <v>31</v>
      </c>
      <c r="AU12" s="47" t="s">
        <v>33</v>
      </c>
      <c r="AV12" s="60" t="s">
        <v>31</v>
      </c>
      <c r="AW12" s="47" t="s">
        <v>37</v>
      </c>
      <c r="AX12" s="1118" t="s">
        <v>31</v>
      </c>
      <c r="AY12" s="47" t="s">
        <v>39</v>
      </c>
      <c r="AZ12" s="60" t="s">
        <v>31</v>
      </c>
      <c r="BA12" s="47" t="s">
        <v>946</v>
      </c>
      <c r="BB12" s="1118" t="s">
        <v>31</v>
      </c>
      <c r="BE12" s="146"/>
      <c r="BF12" s="22" t="s">
        <v>936</v>
      </c>
      <c r="BG12" s="46"/>
      <c r="BH12" s="1118" t="s">
        <v>11</v>
      </c>
      <c r="BI12" s="1115" t="s">
        <v>14</v>
      </c>
      <c r="BJ12" s="7" t="s">
        <v>12</v>
      </c>
      <c r="BK12" s="401" t="s">
        <v>36</v>
      </c>
      <c r="BL12" s="60" t="s">
        <v>31</v>
      </c>
      <c r="BM12" s="47" t="s">
        <v>33</v>
      </c>
      <c r="BN12" s="60" t="s">
        <v>31</v>
      </c>
      <c r="BO12" s="47" t="s">
        <v>37</v>
      </c>
      <c r="BP12" s="1118" t="s">
        <v>31</v>
      </c>
      <c r="BQ12" s="47" t="s">
        <v>39</v>
      </c>
      <c r="BR12" s="60" t="s">
        <v>31</v>
      </c>
      <c r="BS12" s="47" t="s">
        <v>946</v>
      </c>
      <c r="BT12" s="1118" t="s">
        <v>31</v>
      </c>
      <c r="BU12" s="145"/>
      <c r="BV12" s="146"/>
      <c r="BW12" s="146"/>
      <c r="BX12" s="22" t="s">
        <v>936</v>
      </c>
      <c r="BY12" s="46"/>
      <c r="BZ12" s="1118" t="s">
        <v>11</v>
      </c>
      <c r="CA12" s="1115" t="s">
        <v>14</v>
      </c>
      <c r="CB12" s="7" t="s">
        <v>12</v>
      </c>
      <c r="CC12" s="401" t="s">
        <v>36</v>
      </c>
      <c r="CD12" s="60" t="s">
        <v>31</v>
      </c>
      <c r="CE12" s="47" t="s">
        <v>33</v>
      </c>
      <c r="CF12" s="60" t="s">
        <v>31</v>
      </c>
      <c r="CG12" s="47" t="s">
        <v>37</v>
      </c>
      <c r="CH12" s="1118" t="s">
        <v>31</v>
      </c>
      <c r="CI12" s="47" t="s">
        <v>39</v>
      </c>
      <c r="CJ12" s="60" t="s">
        <v>31</v>
      </c>
      <c r="CK12" s="47" t="s">
        <v>946</v>
      </c>
      <c r="CL12" s="1118" t="s">
        <v>31</v>
      </c>
      <c r="CM12" s="1"/>
      <c r="CN12" s="3"/>
      <c r="CO12" s="146"/>
      <c r="CP12" s="22" t="s">
        <v>936</v>
      </c>
      <c r="CQ12" s="46"/>
      <c r="CR12" s="1118" t="s">
        <v>11</v>
      </c>
      <c r="CS12" s="1115" t="s">
        <v>14</v>
      </c>
      <c r="CT12" s="7" t="s">
        <v>12</v>
      </c>
      <c r="CU12" s="401" t="s">
        <v>36</v>
      </c>
      <c r="CV12" s="60" t="s">
        <v>31</v>
      </c>
      <c r="CW12" s="47" t="s">
        <v>33</v>
      </c>
      <c r="CX12" s="60" t="s">
        <v>31</v>
      </c>
      <c r="CY12" s="47" t="s">
        <v>37</v>
      </c>
      <c r="CZ12" s="1118" t="s">
        <v>31</v>
      </c>
      <c r="DA12" s="47" t="s">
        <v>39</v>
      </c>
      <c r="DB12" s="60" t="s">
        <v>31</v>
      </c>
      <c r="DC12" s="47" t="s">
        <v>946</v>
      </c>
      <c r="DD12" s="1118" t="s">
        <v>31</v>
      </c>
      <c r="DE12" s="1"/>
      <c r="DF12" s="1"/>
      <c r="DG12" s="148"/>
      <c r="DH12" s="22" t="s">
        <v>936</v>
      </c>
      <c r="DI12" s="46"/>
      <c r="DJ12" s="1118" t="s">
        <v>11</v>
      </c>
      <c r="DK12" s="1115" t="s">
        <v>14</v>
      </c>
      <c r="DL12" s="7" t="s">
        <v>12</v>
      </c>
      <c r="DM12" s="401" t="s">
        <v>36</v>
      </c>
      <c r="DN12" s="60" t="s">
        <v>31</v>
      </c>
      <c r="DO12" s="47" t="s">
        <v>33</v>
      </c>
      <c r="DP12" s="60" t="s">
        <v>31</v>
      </c>
      <c r="DQ12" s="47" t="s">
        <v>37</v>
      </c>
      <c r="DR12" s="1118" t="s">
        <v>31</v>
      </c>
      <c r="DS12" s="47" t="s">
        <v>39</v>
      </c>
      <c r="DT12" s="60" t="s">
        <v>31</v>
      </c>
      <c r="DU12" s="47" t="s">
        <v>946</v>
      </c>
      <c r="DV12" s="1118" t="s">
        <v>31</v>
      </c>
      <c r="DW12" s="3"/>
      <c r="DX12" s="148"/>
      <c r="DY12" s="148"/>
      <c r="DZ12" s="22" t="s">
        <v>936</v>
      </c>
      <c r="EA12" s="46"/>
      <c r="EB12" s="1118" t="s">
        <v>11</v>
      </c>
      <c r="EC12" s="1115" t="s">
        <v>14</v>
      </c>
      <c r="ED12" s="7" t="s">
        <v>12</v>
      </c>
      <c r="EE12" s="401" t="s">
        <v>36</v>
      </c>
      <c r="EF12" s="60" t="s">
        <v>31</v>
      </c>
      <c r="EG12" s="47" t="s">
        <v>33</v>
      </c>
      <c r="EH12" s="60" t="s">
        <v>31</v>
      </c>
      <c r="EI12" s="47" t="s">
        <v>37</v>
      </c>
      <c r="EJ12" s="1118" t="s">
        <v>31</v>
      </c>
      <c r="EK12" s="47" t="s">
        <v>39</v>
      </c>
      <c r="EL12" s="60" t="s">
        <v>31</v>
      </c>
      <c r="EM12" s="47" t="s">
        <v>946</v>
      </c>
      <c r="EN12" s="1118" t="s">
        <v>31</v>
      </c>
      <c r="EO12" s="1"/>
      <c r="EP12" s="1"/>
      <c r="EQ12" s="1"/>
      <c r="ER12" s="22" t="s">
        <v>936</v>
      </c>
      <c r="ES12" s="46"/>
      <c r="ET12" s="1118" t="s">
        <v>11</v>
      </c>
      <c r="EU12" s="1115" t="s">
        <v>14</v>
      </c>
      <c r="EV12" s="7" t="s">
        <v>12</v>
      </c>
      <c r="EW12" s="401" t="s">
        <v>36</v>
      </c>
      <c r="EX12" s="60" t="s">
        <v>31</v>
      </c>
      <c r="EY12" s="47" t="s">
        <v>33</v>
      </c>
      <c r="EZ12" s="60" t="s">
        <v>31</v>
      </c>
      <c r="FA12" s="47" t="s">
        <v>37</v>
      </c>
      <c r="FB12" s="1118" t="s">
        <v>31</v>
      </c>
      <c r="FC12" s="47" t="s">
        <v>39</v>
      </c>
      <c r="FD12" s="60" t="s">
        <v>31</v>
      </c>
      <c r="FE12" s="47" t="s">
        <v>946</v>
      </c>
      <c r="FF12" s="1118" t="s">
        <v>31</v>
      </c>
      <c r="FG12" s="145"/>
      <c r="FH12" s="146"/>
      <c r="FI12" s="146"/>
      <c r="FJ12" s="22" t="s">
        <v>936</v>
      </c>
      <c r="FK12" s="46"/>
      <c r="FL12" s="1118" t="s">
        <v>11</v>
      </c>
      <c r="FM12" s="1115" t="s">
        <v>14</v>
      </c>
      <c r="FN12" s="7" t="s">
        <v>12</v>
      </c>
      <c r="FO12" s="401" t="s">
        <v>36</v>
      </c>
      <c r="FP12" s="60" t="s">
        <v>31</v>
      </c>
      <c r="FQ12" s="47" t="s">
        <v>33</v>
      </c>
      <c r="FR12" s="60" t="s">
        <v>31</v>
      </c>
      <c r="FS12" s="47" t="s">
        <v>37</v>
      </c>
      <c r="FT12" s="1118" t="s">
        <v>31</v>
      </c>
      <c r="FU12" s="47" t="s">
        <v>39</v>
      </c>
      <c r="FV12" s="60" t="s">
        <v>31</v>
      </c>
      <c r="FW12" s="47" t="s">
        <v>946</v>
      </c>
      <c r="FX12" s="1118" t="s">
        <v>31</v>
      </c>
      <c r="GA12" s="148"/>
      <c r="GB12" s="22" t="s">
        <v>936</v>
      </c>
      <c r="GC12" s="46"/>
      <c r="GD12" s="1118" t="s">
        <v>11</v>
      </c>
      <c r="GE12" s="1115" t="s">
        <v>14</v>
      </c>
      <c r="GF12" s="7" t="s">
        <v>12</v>
      </c>
      <c r="GG12" s="401" t="s">
        <v>36</v>
      </c>
      <c r="GH12" s="60" t="s">
        <v>31</v>
      </c>
      <c r="GI12" s="47" t="s">
        <v>33</v>
      </c>
      <c r="GJ12" s="60" t="s">
        <v>31</v>
      </c>
      <c r="GK12" s="47" t="s">
        <v>37</v>
      </c>
      <c r="GL12" s="1118" t="s">
        <v>31</v>
      </c>
      <c r="GM12" s="47" t="s">
        <v>39</v>
      </c>
      <c r="GN12" s="60" t="s">
        <v>31</v>
      </c>
      <c r="GO12" s="47" t="s">
        <v>946</v>
      </c>
      <c r="GP12" s="1118" t="s">
        <v>31</v>
      </c>
      <c r="GQ12" s="149"/>
      <c r="GR12" s="150"/>
      <c r="GS12" s="148"/>
      <c r="GT12" s="22" t="s">
        <v>936</v>
      </c>
      <c r="GU12" s="46"/>
      <c r="GV12" s="1118" t="s">
        <v>11</v>
      </c>
      <c r="GW12" s="1115" t="s">
        <v>14</v>
      </c>
      <c r="GX12" s="7" t="s">
        <v>12</v>
      </c>
      <c r="GY12" s="401" t="s">
        <v>36</v>
      </c>
      <c r="GZ12" s="60" t="s">
        <v>31</v>
      </c>
      <c r="HA12" s="47" t="s">
        <v>33</v>
      </c>
      <c r="HB12" s="60" t="s">
        <v>31</v>
      </c>
      <c r="HC12" s="47" t="s">
        <v>37</v>
      </c>
      <c r="HD12" s="1118" t="s">
        <v>31</v>
      </c>
      <c r="HE12" s="47" t="s">
        <v>39</v>
      </c>
      <c r="HF12" s="60" t="s">
        <v>31</v>
      </c>
      <c r="HG12" s="47" t="s">
        <v>946</v>
      </c>
      <c r="HH12" s="1118" t="s">
        <v>31</v>
      </c>
      <c r="HK12" s="148"/>
      <c r="HL12" s="22" t="s">
        <v>936</v>
      </c>
      <c r="HM12" s="46"/>
      <c r="HN12" s="1118" t="s">
        <v>11</v>
      </c>
      <c r="HO12" s="1115" t="s">
        <v>14</v>
      </c>
      <c r="HP12" s="7" t="s">
        <v>12</v>
      </c>
      <c r="HQ12" s="401" t="s">
        <v>36</v>
      </c>
      <c r="HR12" s="60" t="s">
        <v>31</v>
      </c>
      <c r="HS12" s="47" t="s">
        <v>33</v>
      </c>
      <c r="HT12" s="60" t="s">
        <v>31</v>
      </c>
      <c r="HU12" s="47" t="s">
        <v>37</v>
      </c>
      <c r="HV12" s="1118" t="s">
        <v>31</v>
      </c>
      <c r="HW12" s="47" t="s">
        <v>39</v>
      </c>
      <c r="HX12" s="60" t="s">
        <v>31</v>
      </c>
      <c r="HY12" s="47" t="s">
        <v>946</v>
      </c>
      <c r="HZ12" s="1118" t="s">
        <v>31</v>
      </c>
      <c r="IC12" s="148"/>
      <c r="ID12" s="22" t="s">
        <v>936</v>
      </c>
      <c r="IE12" s="46"/>
      <c r="IF12" s="1118" t="s">
        <v>11</v>
      </c>
      <c r="IG12" s="1115" t="s">
        <v>14</v>
      </c>
      <c r="IH12" s="7" t="s">
        <v>12</v>
      </c>
      <c r="II12" s="401" t="s">
        <v>36</v>
      </c>
      <c r="IJ12" s="60" t="s">
        <v>31</v>
      </c>
      <c r="IK12" s="47" t="s">
        <v>33</v>
      </c>
      <c r="IL12" s="60" t="s">
        <v>31</v>
      </c>
      <c r="IM12" s="47" t="s">
        <v>37</v>
      </c>
      <c r="IN12" s="1118" t="s">
        <v>31</v>
      </c>
      <c r="IO12" s="47" t="s">
        <v>39</v>
      </c>
      <c r="IP12" s="60" t="s">
        <v>31</v>
      </c>
      <c r="IQ12" s="47" t="s">
        <v>946</v>
      </c>
      <c r="IR12" s="1118" t="s">
        <v>31</v>
      </c>
      <c r="IU12" s="148"/>
      <c r="IV12" s="22" t="s">
        <v>936</v>
      </c>
      <c r="IW12" s="46"/>
      <c r="IX12" s="1118" t="s">
        <v>11</v>
      </c>
      <c r="IY12" s="1115" t="s">
        <v>14</v>
      </c>
      <c r="IZ12" s="7" t="s">
        <v>12</v>
      </c>
      <c r="JA12" s="401" t="s">
        <v>36</v>
      </c>
      <c r="JB12" s="60" t="s">
        <v>31</v>
      </c>
      <c r="JC12" s="47" t="s">
        <v>33</v>
      </c>
      <c r="JD12" s="60" t="s">
        <v>31</v>
      </c>
      <c r="JE12" s="47" t="s">
        <v>37</v>
      </c>
      <c r="JF12" s="1118" t="s">
        <v>31</v>
      </c>
      <c r="JG12" s="47" t="s">
        <v>39</v>
      </c>
      <c r="JH12" s="60" t="s">
        <v>31</v>
      </c>
      <c r="JI12" s="47" t="s">
        <v>946</v>
      </c>
      <c r="JJ12" s="1118" t="s">
        <v>31</v>
      </c>
      <c r="JM12" s="148"/>
      <c r="JN12" s="22" t="s">
        <v>936</v>
      </c>
      <c r="JO12" s="46"/>
      <c r="JP12" s="1118" t="s">
        <v>11</v>
      </c>
      <c r="JQ12" s="1115" t="s">
        <v>14</v>
      </c>
      <c r="JR12" s="7" t="s">
        <v>12</v>
      </c>
      <c r="JS12" s="401" t="s">
        <v>36</v>
      </c>
      <c r="JT12" s="60" t="s">
        <v>31</v>
      </c>
      <c r="JU12" s="47" t="s">
        <v>33</v>
      </c>
      <c r="JV12" s="60" t="s">
        <v>31</v>
      </c>
      <c r="JW12" s="47" t="s">
        <v>37</v>
      </c>
      <c r="JX12" s="1118" t="s">
        <v>31</v>
      </c>
      <c r="JY12" s="47" t="s">
        <v>39</v>
      </c>
      <c r="JZ12" s="60" t="s">
        <v>31</v>
      </c>
      <c r="KA12" s="47" t="s">
        <v>946</v>
      </c>
      <c r="KB12" s="1118" t="s">
        <v>31</v>
      </c>
      <c r="KE12" s="148"/>
      <c r="KF12" s="22" t="s">
        <v>936</v>
      </c>
      <c r="KG12" s="46"/>
      <c r="KH12" s="1118" t="s">
        <v>11</v>
      </c>
      <c r="KI12" s="1115" t="s">
        <v>14</v>
      </c>
      <c r="KJ12" s="7" t="s">
        <v>12</v>
      </c>
      <c r="KK12" s="401" t="s">
        <v>36</v>
      </c>
      <c r="KL12" s="60" t="s">
        <v>31</v>
      </c>
      <c r="KM12" s="47" t="s">
        <v>33</v>
      </c>
      <c r="KN12" s="60" t="s">
        <v>31</v>
      </c>
      <c r="KO12" s="47" t="s">
        <v>37</v>
      </c>
      <c r="KP12" s="1118" t="s">
        <v>31</v>
      </c>
      <c r="KQ12" s="47" t="s">
        <v>39</v>
      </c>
      <c r="KR12" s="60" t="s">
        <v>31</v>
      </c>
      <c r="KS12" s="47" t="s">
        <v>946</v>
      </c>
      <c r="KT12" s="1118" t="s">
        <v>31</v>
      </c>
      <c r="KU12" s="149"/>
      <c r="KV12" s="150"/>
      <c r="KW12" s="148"/>
      <c r="KX12" s="22" t="s">
        <v>936</v>
      </c>
      <c r="KY12" s="46"/>
      <c r="KZ12" s="1118" t="s">
        <v>11</v>
      </c>
      <c r="LA12" s="1115" t="s">
        <v>14</v>
      </c>
      <c r="LB12" s="7" t="s">
        <v>12</v>
      </c>
      <c r="LC12" s="401" t="s">
        <v>36</v>
      </c>
      <c r="LD12" s="60" t="s">
        <v>31</v>
      </c>
      <c r="LE12" s="47" t="s">
        <v>33</v>
      </c>
      <c r="LF12" s="60" t="s">
        <v>31</v>
      </c>
      <c r="LG12" s="47" t="s">
        <v>37</v>
      </c>
      <c r="LH12" s="1118" t="s">
        <v>31</v>
      </c>
      <c r="LI12" s="47" t="s">
        <v>39</v>
      </c>
      <c r="LJ12" s="60" t="s">
        <v>31</v>
      </c>
      <c r="LK12" s="47" t="s">
        <v>946</v>
      </c>
      <c r="LL12" s="1118" t="s">
        <v>31</v>
      </c>
      <c r="LP12" s="22" t="s">
        <v>936</v>
      </c>
      <c r="LQ12" s="46"/>
      <c r="LR12" s="1118" t="s">
        <v>11</v>
      </c>
      <c r="LS12" s="1115" t="s">
        <v>14</v>
      </c>
      <c r="LT12" s="7" t="s">
        <v>12</v>
      </c>
      <c r="LU12" s="401" t="s">
        <v>36</v>
      </c>
      <c r="LV12" s="60" t="s">
        <v>31</v>
      </c>
      <c r="LW12" s="47" t="s">
        <v>33</v>
      </c>
      <c r="LX12" s="60" t="s">
        <v>31</v>
      </c>
      <c r="LY12" s="47" t="s">
        <v>37</v>
      </c>
      <c r="LZ12" s="1118" t="s">
        <v>31</v>
      </c>
      <c r="MA12" s="47" t="s">
        <v>39</v>
      </c>
      <c r="MB12" s="60" t="s">
        <v>31</v>
      </c>
      <c r="MC12" s="47" t="s">
        <v>946</v>
      </c>
      <c r="MD12" s="1118" t="s">
        <v>31</v>
      </c>
      <c r="MH12" s="22" t="s">
        <v>936</v>
      </c>
      <c r="MI12" s="46"/>
      <c r="MJ12" s="1118" t="s">
        <v>11</v>
      </c>
      <c r="MK12" s="1115" t="s">
        <v>14</v>
      </c>
      <c r="ML12" s="7" t="s">
        <v>12</v>
      </c>
      <c r="MM12" s="401" t="s">
        <v>36</v>
      </c>
      <c r="MN12" s="60" t="s">
        <v>31</v>
      </c>
      <c r="MO12" s="47" t="s">
        <v>33</v>
      </c>
      <c r="MP12" s="60" t="s">
        <v>31</v>
      </c>
      <c r="MQ12" s="47" t="s">
        <v>37</v>
      </c>
      <c r="MR12" s="1118" t="s">
        <v>31</v>
      </c>
      <c r="MS12" s="47" t="s">
        <v>39</v>
      </c>
      <c r="MT12" s="60" t="s">
        <v>31</v>
      </c>
      <c r="MU12" s="47" t="s">
        <v>946</v>
      </c>
      <c r="MV12" s="1118" t="s">
        <v>31</v>
      </c>
      <c r="MW12" s="1"/>
      <c r="MX12" s="1"/>
      <c r="MY12" s="148"/>
      <c r="MZ12" s="22" t="s">
        <v>936</v>
      </c>
      <c r="NA12" s="46"/>
      <c r="NB12" s="1118" t="s">
        <v>11</v>
      </c>
      <c r="NC12" s="1115" t="s">
        <v>14</v>
      </c>
      <c r="ND12" s="7" t="s">
        <v>12</v>
      </c>
      <c r="NE12" s="401" t="s">
        <v>36</v>
      </c>
      <c r="NF12" s="60" t="s">
        <v>31</v>
      </c>
      <c r="NG12" s="47" t="s">
        <v>33</v>
      </c>
      <c r="NH12" s="60" t="s">
        <v>31</v>
      </c>
      <c r="NI12" s="47" t="s">
        <v>37</v>
      </c>
      <c r="NJ12" s="1118" t="s">
        <v>31</v>
      </c>
      <c r="NK12" s="47" t="s">
        <v>39</v>
      </c>
      <c r="NL12" s="60" t="s">
        <v>31</v>
      </c>
      <c r="NM12" s="47" t="s">
        <v>946</v>
      </c>
      <c r="NN12" s="1118" t="s">
        <v>31</v>
      </c>
      <c r="NQ12" s="148"/>
      <c r="NR12" s="22" t="s">
        <v>936</v>
      </c>
      <c r="NS12" s="46"/>
      <c r="NT12" s="1118" t="s">
        <v>11</v>
      </c>
      <c r="NU12" s="1115" t="s">
        <v>14</v>
      </c>
      <c r="NV12" s="7" t="s">
        <v>12</v>
      </c>
      <c r="NW12" s="401" t="s">
        <v>36</v>
      </c>
      <c r="NX12" s="60" t="s">
        <v>31</v>
      </c>
      <c r="NY12" s="47" t="s">
        <v>33</v>
      </c>
      <c r="NZ12" s="60" t="s">
        <v>31</v>
      </c>
      <c r="OA12" s="47" t="s">
        <v>37</v>
      </c>
      <c r="OB12" s="1118" t="s">
        <v>31</v>
      </c>
      <c r="OC12" s="47" t="s">
        <v>39</v>
      </c>
      <c r="OD12" s="60" t="s">
        <v>31</v>
      </c>
      <c r="OE12" s="47" t="s">
        <v>946</v>
      </c>
      <c r="OF12" s="1118" t="s">
        <v>31</v>
      </c>
      <c r="OI12" s="148"/>
      <c r="OJ12" s="22" t="s">
        <v>936</v>
      </c>
      <c r="OK12" s="46"/>
      <c r="OL12" s="1118" t="s">
        <v>11</v>
      </c>
      <c r="OM12" s="1115" t="s">
        <v>14</v>
      </c>
      <c r="ON12" s="7" t="s">
        <v>12</v>
      </c>
      <c r="OO12" s="401" t="s">
        <v>36</v>
      </c>
      <c r="OP12" s="60" t="s">
        <v>31</v>
      </c>
      <c r="OQ12" s="47" t="s">
        <v>33</v>
      </c>
      <c r="OR12" s="60" t="s">
        <v>31</v>
      </c>
      <c r="OS12" s="47" t="s">
        <v>37</v>
      </c>
      <c r="OT12" s="1118" t="s">
        <v>31</v>
      </c>
      <c r="OU12" s="47" t="s">
        <v>39</v>
      </c>
      <c r="OV12" s="60" t="s">
        <v>31</v>
      </c>
      <c r="OW12" s="47" t="s">
        <v>946</v>
      </c>
      <c r="OX12" s="1118" t="s">
        <v>31</v>
      </c>
      <c r="PA12" s="148"/>
      <c r="PB12" s="22" t="s">
        <v>936</v>
      </c>
      <c r="PC12" s="46"/>
      <c r="PD12" s="1118" t="s">
        <v>11</v>
      </c>
      <c r="PE12" s="1115" t="s">
        <v>14</v>
      </c>
      <c r="PF12" s="7" t="s">
        <v>12</v>
      </c>
      <c r="PG12" s="401" t="s">
        <v>36</v>
      </c>
      <c r="PH12" s="60" t="s">
        <v>31</v>
      </c>
      <c r="PI12" s="47" t="s">
        <v>33</v>
      </c>
      <c r="PJ12" s="60" t="s">
        <v>31</v>
      </c>
      <c r="PK12" s="47" t="s">
        <v>37</v>
      </c>
      <c r="PL12" s="1118" t="s">
        <v>31</v>
      </c>
      <c r="PM12" s="47" t="s">
        <v>39</v>
      </c>
      <c r="PN12" s="60" t="s">
        <v>31</v>
      </c>
      <c r="PO12" s="47" t="s">
        <v>946</v>
      </c>
      <c r="PP12" s="1118" t="s">
        <v>31</v>
      </c>
      <c r="PS12" s="148"/>
      <c r="PT12" s="22" t="s">
        <v>936</v>
      </c>
      <c r="PU12" s="46"/>
      <c r="PV12" s="1118" t="s">
        <v>11</v>
      </c>
      <c r="PW12" s="1115" t="s">
        <v>14</v>
      </c>
      <c r="PX12" s="7" t="s">
        <v>12</v>
      </c>
      <c r="PY12" s="401" t="s">
        <v>36</v>
      </c>
      <c r="PZ12" s="60" t="s">
        <v>31</v>
      </c>
      <c r="QA12" s="47" t="s">
        <v>33</v>
      </c>
      <c r="QB12" s="60" t="s">
        <v>31</v>
      </c>
      <c r="QC12" s="47" t="s">
        <v>37</v>
      </c>
      <c r="QD12" s="1118" t="s">
        <v>31</v>
      </c>
      <c r="QE12" s="47" t="s">
        <v>39</v>
      </c>
      <c r="QF12" s="60" t="s">
        <v>31</v>
      </c>
      <c r="QG12" s="47" t="s">
        <v>946</v>
      </c>
      <c r="QH12" s="1118" t="s">
        <v>31</v>
      </c>
      <c r="QJ12" s="329"/>
      <c r="QK12" s="329"/>
      <c r="QL12" s="330"/>
      <c r="QM12" s="22" t="s">
        <v>936</v>
      </c>
      <c r="QN12" s="46"/>
      <c r="QO12" s="1118" t="s">
        <v>11</v>
      </c>
      <c r="QP12" s="1115" t="s">
        <v>14</v>
      </c>
      <c r="QQ12" s="7" t="s">
        <v>12</v>
      </c>
      <c r="QR12" s="401" t="s">
        <v>36</v>
      </c>
      <c r="QS12" s="60" t="s">
        <v>31</v>
      </c>
      <c r="QT12" s="47" t="s">
        <v>33</v>
      </c>
      <c r="QU12" s="60" t="s">
        <v>31</v>
      </c>
      <c r="QV12" s="47" t="s">
        <v>37</v>
      </c>
      <c r="QW12" s="1118" t="s">
        <v>31</v>
      </c>
      <c r="QX12" s="47" t="s">
        <v>39</v>
      </c>
      <c r="QY12" s="60" t="s">
        <v>31</v>
      </c>
      <c r="QZ12" s="47" t="s">
        <v>946</v>
      </c>
      <c r="RA12" s="1118" t="s">
        <v>31</v>
      </c>
      <c r="RB12" s="47"/>
      <c r="RC12" s="7"/>
      <c r="RE12" s="22" t="s">
        <v>936</v>
      </c>
      <c r="RF12" s="46"/>
      <c r="RG12" s="1118" t="s">
        <v>11</v>
      </c>
      <c r="RH12" s="1115" t="s">
        <v>14</v>
      </c>
      <c r="RI12" s="7" t="s">
        <v>12</v>
      </c>
      <c r="RJ12" s="401" t="s">
        <v>36</v>
      </c>
      <c r="RK12" s="60" t="s">
        <v>31</v>
      </c>
      <c r="RL12" s="47" t="s">
        <v>33</v>
      </c>
      <c r="RM12" s="60" t="s">
        <v>31</v>
      </c>
      <c r="RN12" s="47" t="s">
        <v>37</v>
      </c>
      <c r="RO12" s="1118" t="s">
        <v>31</v>
      </c>
      <c r="RP12" s="47" t="s">
        <v>39</v>
      </c>
      <c r="RQ12" s="60" t="s">
        <v>31</v>
      </c>
      <c r="RR12" s="47" t="s">
        <v>946</v>
      </c>
      <c r="RS12" s="1118" t="s">
        <v>31</v>
      </c>
      <c r="RT12" s="329"/>
      <c r="RU12" s="329"/>
      <c r="RV12" s="330"/>
      <c r="RW12" s="22" t="s">
        <v>936</v>
      </c>
      <c r="RX12" s="46"/>
      <c r="RY12" s="1118" t="s">
        <v>11</v>
      </c>
      <c r="RZ12" s="1115" t="s">
        <v>14</v>
      </c>
      <c r="SA12" s="7" t="s">
        <v>12</v>
      </c>
      <c r="SB12" s="401" t="s">
        <v>36</v>
      </c>
      <c r="SC12" s="60" t="s">
        <v>31</v>
      </c>
      <c r="SD12" s="47" t="s">
        <v>33</v>
      </c>
      <c r="SE12" s="60" t="s">
        <v>31</v>
      </c>
      <c r="SF12" s="47" t="s">
        <v>37</v>
      </c>
      <c r="SG12" s="1118" t="s">
        <v>31</v>
      </c>
      <c r="SH12" s="47" t="s">
        <v>39</v>
      </c>
      <c r="SI12" s="60" t="s">
        <v>31</v>
      </c>
      <c r="SJ12" s="47" t="s">
        <v>946</v>
      </c>
      <c r="SK12" s="1118" t="s">
        <v>31</v>
      </c>
      <c r="SL12" s="329"/>
      <c r="SM12" s="329"/>
      <c r="SN12" s="330"/>
      <c r="SO12" s="22" t="s">
        <v>936</v>
      </c>
      <c r="SP12" s="46"/>
      <c r="SQ12" s="1118" t="s">
        <v>11</v>
      </c>
      <c r="SR12" s="1115" t="s">
        <v>14</v>
      </c>
      <c r="SS12" s="7" t="s">
        <v>12</v>
      </c>
      <c r="ST12" s="401" t="s">
        <v>36</v>
      </c>
      <c r="SU12" s="60" t="s">
        <v>31</v>
      </c>
      <c r="SV12" s="47" t="s">
        <v>33</v>
      </c>
      <c r="SW12" s="60" t="s">
        <v>31</v>
      </c>
      <c r="SX12" s="47" t="s">
        <v>37</v>
      </c>
      <c r="SY12" s="1118" t="s">
        <v>31</v>
      </c>
      <c r="SZ12" s="47" t="s">
        <v>39</v>
      </c>
      <c r="TA12" s="60" t="s">
        <v>31</v>
      </c>
      <c r="TB12" s="47" t="s">
        <v>946</v>
      </c>
      <c r="TC12" s="1118" t="s">
        <v>31</v>
      </c>
      <c r="TE12" s="329"/>
      <c r="TF12" s="329"/>
      <c r="TG12" s="330"/>
      <c r="TH12" s="22" t="s">
        <v>936</v>
      </c>
      <c r="TI12" s="46"/>
      <c r="TJ12" s="1118" t="s">
        <v>11</v>
      </c>
      <c r="TK12" s="1115" t="s">
        <v>14</v>
      </c>
      <c r="TL12" s="7" t="s">
        <v>12</v>
      </c>
      <c r="TM12" s="401" t="s">
        <v>36</v>
      </c>
      <c r="TN12" s="60" t="s">
        <v>31</v>
      </c>
      <c r="TO12" s="47" t="s">
        <v>33</v>
      </c>
      <c r="TP12" s="60" t="s">
        <v>31</v>
      </c>
      <c r="TQ12" s="47" t="s">
        <v>37</v>
      </c>
      <c r="TR12" s="1118" t="s">
        <v>31</v>
      </c>
      <c r="TS12" s="47" t="s">
        <v>39</v>
      </c>
      <c r="TT12" s="60" t="s">
        <v>31</v>
      </c>
      <c r="TU12" s="47" t="s">
        <v>946</v>
      </c>
      <c r="TV12" s="1118" t="s">
        <v>31</v>
      </c>
      <c r="TW12"/>
      <c r="TX12" s="329"/>
      <c r="TY12" s="329"/>
      <c r="TZ12" s="330"/>
      <c r="UA12" s="22" t="s">
        <v>936</v>
      </c>
      <c r="UB12" s="46"/>
      <c r="UC12" s="1118" t="s">
        <v>11</v>
      </c>
      <c r="UD12" s="1115" t="s">
        <v>14</v>
      </c>
      <c r="UE12" s="7" t="s">
        <v>12</v>
      </c>
      <c r="UF12" s="401" t="s">
        <v>36</v>
      </c>
      <c r="UG12" s="60" t="s">
        <v>31</v>
      </c>
      <c r="UH12" s="47" t="s">
        <v>33</v>
      </c>
      <c r="UI12" s="60" t="s">
        <v>31</v>
      </c>
      <c r="UJ12" s="47" t="s">
        <v>37</v>
      </c>
      <c r="UK12" s="1118" t="s">
        <v>31</v>
      </c>
      <c r="UL12" s="47" t="s">
        <v>39</v>
      </c>
      <c r="UM12" s="60" t="s">
        <v>31</v>
      </c>
      <c r="UN12" s="47" t="s">
        <v>946</v>
      </c>
      <c r="UO12" s="1118" t="s">
        <v>31</v>
      </c>
      <c r="UQ12" s="329"/>
      <c r="UR12" s="329"/>
      <c r="US12" s="330"/>
      <c r="UT12" s="22" t="s">
        <v>936</v>
      </c>
      <c r="UU12" s="46"/>
      <c r="UV12" s="1118" t="s">
        <v>11</v>
      </c>
      <c r="UW12" s="1115" t="s">
        <v>14</v>
      </c>
      <c r="UX12" s="7" t="s">
        <v>12</v>
      </c>
      <c r="UY12" s="401" t="s">
        <v>36</v>
      </c>
      <c r="UZ12" s="60" t="s">
        <v>31</v>
      </c>
      <c r="VA12" s="47" t="s">
        <v>33</v>
      </c>
      <c r="VB12" s="60" t="s">
        <v>31</v>
      </c>
      <c r="VC12" s="47" t="s">
        <v>37</v>
      </c>
      <c r="VD12" s="1118" t="s">
        <v>31</v>
      </c>
      <c r="VE12" s="47" t="s">
        <v>39</v>
      </c>
      <c r="VF12" s="60" t="s">
        <v>31</v>
      </c>
      <c r="VG12" s="47" t="s">
        <v>946</v>
      </c>
      <c r="VH12" s="1118" t="s">
        <v>31</v>
      </c>
      <c r="VL12" s="148"/>
      <c r="VM12" s="22" t="s">
        <v>936</v>
      </c>
      <c r="VN12" s="46"/>
      <c r="VO12" s="1118" t="s">
        <v>11</v>
      </c>
      <c r="VP12" s="1115" t="s">
        <v>14</v>
      </c>
      <c r="VQ12" s="7" t="s">
        <v>12</v>
      </c>
      <c r="VR12" s="401" t="s">
        <v>36</v>
      </c>
      <c r="VS12" s="60" t="s">
        <v>31</v>
      </c>
      <c r="VT12" s="47" t="s">
        <v>33</v>
      </c>
      <c r="VU12" s="60" t="s">
        <v>31</v>
      </c>
      <c r="VV12" s="47" t="s">
        <v>37</v>
      </c>
      <c r="VW12" s="1118" t="s">
        <v>31</v>
      </c>
      <c r="VY12" s="329"/>
      <c r="VZ12" s="329"/>
      <c r="WA12" s="330"/>
      <c r="WB12" s="22" t="s">
        <v>936</v>
      </c>
      <c r="WC12" s="46"/>
      <c r="WD12" s="1118" t="s">
        <v>11</v>
      </c>
      <c r="WE12" s="1115" t="s">
        <v>14</v>
      </c>
      <c r="WF12" s="7" t="s">
        <v>12</v>
      </c>
      <c r="WG12" s="401" t="s">
        <v>36</v>
      </c>
      <c r="WH12" s="60" t="s">
        <v>31</v>
      </c>
      <c r="WI12" s="47" t="s">
        <v>33</v>
      </c>
      <c r="WJ12" s="60" t="s">
        <v>31</v>
      </c>
      <c r="WK12" s="47" t="s">
        <v>37</v>
      </c>
      <c r="WL12" s="1118" t="s">
        <v>31</v>
      </c>
    </row>
    <row r="13" spans="1:610" x14ac:dyDescent="0.35">
      <c r="A13" s="147" t="s">
        <v>7</v>
      </c>
      <c r="C13" s="3"/>
      <c r="D13" s="22" t="s">
        <v>5</v>
      </c>
      <c r="E13" s="47" t="s">
        <v>9</v>
      </c>
      <c r="F13" s="1118" t="s">
        <v>13</v>
      </c>
      <c r="G13" s="1115" t="s">
        <v>895</v>
      </c>
      <c r="H13" s="7" t="s">
        <v>13</v>
      </c>
      <c r="I13" s="401" t="s">
        <v>35</v>
      </c>
      <c r="J13" s="60" t="s">
        <v>32</v>
      </c>
      <c r="K13" s="47" t="s">
        <v>35</v>
      </c>
      <c r="L13" s="60" t="s">
        <v>40</v>
      </c>
      <c r="M13" s="47" t="s">
        <v>35</v>
      </c>
      <c r="N13" s="1118" t="s">
        <v>40</v>
      </c>
      <c r="O13" s="47" t="s">
        <v>35</v>
      </c>
      <c r="P13" s="60" t="s">
        <v>40</v>
      </c>
      <c r="Q13" s="47" t="s">
        <v>35</v>
      </c>
      <c r="R13" s="1118" t="s">
        <v>40</v>
      </c>
      <c r="S13" s="147" t="s">
        <v>7</v>
      </c>
      <c r="U13" s="3"/>
      <c r="V13" s="22" t="s">
        <v>5</v>
      </c>
      <c r="W13" s="47" t="s">
        <v>9</v>
      </c>
      <c r="X13" s="1118" t="s">
        <v>13</v>
      </c>
      <c r="Y13" s="1115" t="s">
        <v>895</v>
      </c>
      <c r="Z13" s="7" t="s">
        <v>13</v>
      </c>
      <c r="AA13" s="401" t="s">
        <v>35</v>
      </c>
      <c r="AB13" s="60" t="s">
        <v>32</v>
      </c>
      <c r="AC13" s="47" t="s">
        <v>35</v>
      </c>
      <c r="AD13" s="60" t="s">
        <v>40</v>
      </c>
      <c r="AE13" s="47" t="s">
        <v>35</v>
      </c>
      <c r="AF13" s="1118" t="s">
        <v>40</v>
      </c>
      <c r="AG13" s="47" t="s">
        <v>35</v>
      </c>
      <c r="AH13" s="60" t="s">
        <v>40</v>
      </c>
      <c r="AI13" s="47" t="s">
        <v>35</v>
      </c>
      <c r="AJ13" s="1118" t="s">
        <v>40</v>
      </c>
      <c r="AK13" s="147" t="s">
        <v>7</v>
      </c>
      <c r="AL13" s="3"/>
      <c r="AM13" s="3"/>
      <c r="AN13" s="22" t="s">
        <v>5</v>
      </c>
      <c r="AO13" s="47" t="s">
        <v>9</v>
      </c>
      <c r="AP13" s="1118" t="s">
        <v>13</v>
      </c>
      <c r="AQ13" s="1115" t="s">
        <v>895</v>
      </c>
      <c r="AR13" s="7" t="s">
        <v>13</v>
      </c>
      <c r="AS13" s="401" t="s">
        <v>35</v>
      </c>
      <c r="AT13" s="60" t="s">
        <v>32</v>
      </c>
      <c r="AU13" s="47" t="s">
        <v>35</v>
      </c>
      <c r="AV13" s="60" t="s">
        <v>40</v>
      </c>
      <c r="AW13" s="47" t="s">
        <v>35</v>
      </c>
      <c r="AX13" s="1118" t="s">
        <v>40</v>
      </c>
      <c r="AY13" s="47" t="s">
        <v>35</v>
      </c>
      <c r="AZ13" s="60" t="s">
        <v>40</v>
      </c>
      <c r="BA13" s="47" t="s">
        <v>35</v>
      </c>
      <c r="BB13" s="1118" t="s">
        <v>40</v>
      </c>
      <c r="BC13" s="147" t="s">
        <v>7</v>
      </c>
      <c r="BE13" s="3"/>
      <c r="BF13" s="22" t="s">
        <v>5</v>
      </c>
      <c r="BG13" s="47" t="s">
        <v>9</v>
      </c>
      <c r="BH13" s="1118" t="s">
        <v>13</v>
      </c>
      <c r="BI13" s="1115" t="s">
        <v>895</v>
      </c>
      <c r="BJ13" s="7" t="s">
        <v>13</v>
      </c>
      <c r="BK13" s="401" t="s">
        <v>35</v>
      </c>
      <c r="BL13" s="60" t="s">
        <v>32</v>
      </c>
      <c r="BM13" s="47" t="s">
        <v>35</v>
      </c>
      <c r="BN13" s="60" t="s">
        <v>40</v>
      </c>
      <c r="BO13" s="47" t="s">
        <v>35</v>
      </c>
      <c r="BP13" s="1118" t="s">
        <v>40</v>
      </c>
      <c r="BQ13" s="47" t="s">
        <v>35</v>
      </c>
      <c r="BR13" s="60" t="s">
        <v>40</v>
      </c>
      <c r="BS13" s="47" t="s">
        <v>35</v>
      </c>
      <c r="BT13" s="1118" t="s">
        <v>40</v>
      </c>
      <c r="BU13" s="147" t="s">
        <v>7</v>
      </c>
      <c r="BV13" s="3"/>
      <c r="BW13" s="3"/>
      <c r="BX13" s="22" t="s">
        <v>5</v>
      </c>
      <c r="BY13" s="47" t="s">
        <v>9</v>
      </c>
      <c r="BZ13" s="1118" t="s">
        <v>13</v>
      </c>
      <c r="CA13" s="1115" t="s">
        <v>895</v>
      </c>
      <c r="CB13" s="7" t="s">
        <v>13</v>
      </c>
      <c r="CC13" s="401" t="s">
        <v>35</v>
      </c>
      <c r="CD13" s="60" t="s">
        <v>32</v>
      </c>
      <c r="CE13" s="47" t="s">
        <v>35</v>
      </c>
      <c r="CF13" s="60" t="s">
        <v>40</v>
      </c>
      <c r="CG13" s="47" t="s">
        <v>35</v>
      </c>
      <c r="CH13" s="1118" t="s">
        <v>40</v>
      </c>
      <c r="CI13" s="47" t="s">
        <v>35</v>
      </c>
      <c r="CJ13" s="60" t="s">
        <v>40</v>
      </c>
      <c r="CK13" s="47" t="s">
        <v>35</v>
      </c>
      <c r="CL13" s="1118" t="s">
        <v>40</v>
      </c>
      <c r="CM13" s="110" t="s">
        <v>7</v>
      </c>
      <c r="CN13" s="110"/>
      <c r="CO13" s="3"/>
      <c r="CP13" s="22" t="s">
        <v>5</v>
      </c>
      <c r="CQ13" s="47" t="s">
        <v>9</v>
      </c>
      <c r="CR13" s="1118" t="s">
        <v>13</v>
      </c>
      <c r="CS13" s="1115" t="s">
        <v>895</v>
      </c>
      <c r="CT13" s="7" t="s">
        <v>13</v>
      </c>
      <c r="CU13" s="401" t="s">
        <v>35</v>
      </c>
      <c r="CV13" s="60" t="s">
        <v>32</v>
      </c>
      <c r="CW13" s="47" t="s">
        <v>35</v>
      </c>
      <c r="CX13" s="60" t="s">
        <v>40</v>
      </c>
      <c r="CY13" s="47" t="s">
        <v>35</v>
      </c>
      <c r="CZ13" s="1118" t="s">
        <v>40</v>
      </c>
      <c r="DA13" s="47" t="s">
        <v>35</v>
      </c>
      <c r="DB13" s="60" t="s">
        <v>40</v>
      </c>
      <c r="DC13" s="47" t="s">
        <v>35</v>
      </c>
      <c r="DD13" s="1118" t="s">
        <v>40</v>
      </c>
      <c r="DE13" s="147" t="s">
        <v>7</v>
      </c>
      <c r="DF13" s="3"/>
      <c r="DG13" s="3"/>
      <c r="DH13" s="22" t="s">
        <v>5</v>
      </c>
      <c r="DI13" s="47" t="s">
        <v>9</v>
      </c>
      <c r="DJ13" s="1118" t="s">
        <v>13</v>
      </c>
      <c r="DK13" s="1115" t="s">
        <v>895</v>
      </c>
      <c r="DL13" s="7" t="s">
        <v>13</v>
      </c>
      <c r="DM13" s="401" t="s">
        <v>35</v>
      </c>
      <c r="DN13" s="60" t="s">
        <v>32</v>
      </c>
      <c r="DO13" s="47" t="s">
        <v>35</v>
      </c>
      <c r="DP13" s="60" t="s">
        <v>40</v>
      </c>
      <c r="DQ13" s="47" t="s">
        <v>35</v>
      </c>
      <c r="DR13" s="1118" t="s">
        <v>40</v>
      </c>
      <c r="DS13" s="47" t="s">
        <v>35</v>
      </c>
      <c r="DT13" s="60" t="s">
        <v>40</v>
      </c>
      <c r="DU13" s="47" t="s">
        <v>35</v>
      </c>
      <c r="DV13" s="1118" t="s">
        <v>40</v>
      </c>
      <c r="DW13" s="110" t="s">
        <v>7</v>
      </c>
      <c r="DX13" s="3"/>
      <c r="DY13" s="3"/>
      <c r="DZ13" s="22" t="s">
        <v>5</v>
      </c>
      <c r="EA13" s="47" t="s">
        <v>9</v>
      </c>
      <c r="EB13" s="1118" t="s">
        <v>13</v>
      </c>
      <c r="EC13" s="1115" t="s">
        <v>895</v>
      </c>
      <c r="ED13" s="7" t="s">
        <v>13</v>
      </c>
      <c r="EE13" s="401" t="s">
        <v>35</v>
      </c>
      <c r="EF13" s="60" t="s">
        <v>32</v>
      </c>
      <c r="EG13" s="47" t="s">
        <v>35</v>
      </c>
      <c r="EH13" s="60" t="s">
        <v>40</v>
      </c>
      <c r="EI13" s="47" t="s">
        <v>35</v>
      </c>
      <c r="EJ13" s="1118" t="s">
        <v>40</v>
      </c>
      <c r="EK13" s="47" t="s">
        <v>35</v>
      </c>
      <c r="EL13" s="60" t="s">
        <v>40</v>
      </c>
      <c r="EM13" s="47" t="s">
        <v>35</v>
      </c>
      <c r="EN13" s="1118" t="s">
        <v>40</v>
      </c>
      <c r="EO13" s="110" t="s">
        <v>7</v>
      </c>
      <c r="EP13" s="3"/>
      <c r="EQ13" s="3"/>
      <c r="ER13" s="22" t="s">
        <v>5</v>
      </c>
      <c r="ES13" s="47" t="s">
        <v>9</v>
      </c>
      <c r="ET13" s="1118" t="s">
        <v>13</v>
      </c>
      <c r="EU13" s="1115" t="s">
        <v>895</v>
      </c>
      <c r="EV13" s="7" t="s">
        <v>13</v>
      </c>
      <c r="EW13" s="401" t="s">
        <v>35</v>
      </c>
      <c r="EX13" s="60" t="s">
        <v>32</v>
      </c>
      <c r="EY13" s="47" t="s">
        <v>35</v>
      </c>
      <c r="EZ13" s="60" t="s">
        <v>40</v>
      </c>
      <c r="FA13" s="47" t="s">
        <v>35</v>
      </c>
      <c r="FB13" s="1118" t="s">
        <v>40</v>
      </c>
      <c r="FC13" s="47" t="s">
        <v>35</v>
      </c>
      <c r="FD13" s="60" t="s">
        <v>40</v>
      </c>
      <c r="FE13" s="47" t="s">
        <v>35</v>
      </c>
      <c r="FF13" s="1118" t="s">
        <v>40</v>
      </c>
      <c r="FG13" s="147" t="s">
        <v>7</v>
      </c>
      <c r="FH13" s="3"/>
      <c r="FI13" s="3"/>
      <c r="FJ13" s="22" t="s">
        <v>5</v>
      </c>
      <c r="FK13" s="47" t="s">
        <v>9</v>
      </c>
      <c r="FL13" s="1118" t="s">
        <v>13</v>
      </c>
      <c r="FM13" s="1115" t="s">
        <v>895</v>
      </c>
      <c r="FN13" s="7" t="s">
        <v>13</v>
      </c>
      <c r="FO13" s="401" t="s">
        <v>35</v>
      </c>
      <c r="FP13" s="60" t="s">
        <v>32</v>
      </c>
      <c r="FQ13" s="47" t="s">
        <v>35</v>
      </c>
      <c r="FR13" s="60" t="s">
        <v>40</v>
      </c>
      <c r="FS13" s="47" t="s">
        <v>35</v>
      </c>
      <c r="FT13" s="1118" t="s">
        <v>40</v>
      </c>
      <c r="FU13" s="47" t="s">
        <v>35</v>
      </c>
      <c r="FV13" s="60" t="s">
        <v>40</v>
      </c>
      <c r="FW13" s="47" t="s">
        <v>35</v>
      </c>
      <c r="FX13" s="1118" t="s">
        <v>40</v>
      </c>
      <c r="FY13" s="110" t="s">
        <v>7</v>
      </c>
      <c r="FZ13" s="110"/>
      <c r="GA13" s="3"/>
      <c r="GB13" s="22" t="s">
        <v>5</v>
      </c>
      <c r="GC13" s="47" t="s">
        <v>9</v>
      </c>
      <c r="GD13" s="1118" t="s">
        <v>13</v>
      </c>
      <c r="GE13" s="1115" t="s">
        <v>895</v>
      </c>
      <c r="GF13" s="7" t="s">
        <v>13</v>
      </c>
      <c r="GG13" s="401" t="s">
        <v>35</v>
      </c>
      <c r="GH13" s="60" t="s">
        <v>32</v>
      </c>
      <c r="GI13" s="47" t="s">
        <v>35</v>
      </c>
      <c r="GJ13" s="60" t="s">
        <v>40</v>
      </c>
      <c r="GK13" s="47" t="s">
        <v>35</v>
      </c>
      <c r="GL13" s="1118" t="s">
        <v>40</v>
      </c>
      <c r="GM13" s="47" t="s">
        <v>35</v>
      </c>
      <c r="GN13" s="60" t="s">
        <v>40</v>
      </c>
      <c r="GO13" s="47" t="s">
        <v>35</v>
      </c>
      <c r="GP13" s="1118" t="s">
        <v>40</v>
      </c>
      <c r="GQ13" s="110" t="s">
        <v>7</v>
      </c>
      <c r="GR13" s="149"/>
      <c r="GS13" s="3"/>
      <c r="GT13" s="22" t="s">
        <v>5</v>
      </c>
      <c r="GU13" s="47" t="s">
        <v>9</v>
      </c>
      <c r="GV13" s="1118" t="s">
        <v>13</v>
      </c>
      <c r="GW13" s="1115" t="s">
        <v>895</v>
      </c>
      <c r="GX13" s="7" t="s">
        <v>13</v>
      </c>
      <c r="GY13" s="401" t="s">
        <v>35</v>
      </c>
      <c r="GZ13" s="60" t="s">
        <v>32</v>
      </c>
      <c r="HA13" s="47" t="s">
        <v>35</v>
      </c>
      <c r="HB13" s="60" t="s">
        <v>40</v>
      </c>
      <c r="HC13" s="47" t="s">
        <v>35</v>
      </c>
      <c r="HD13" s="1118" t="s">
        <v>40</v>
      </c>
      <c r="HE13" s="47" t="s">
        <v>35</v>
      </c>
      <c r="HF13" s="60" t="s">
        <v>40</v>
      </c>
      <c r="HG13" s="47" t="s">
        <v>35</v>
      </c>
      <c r="HH13" s="1118" t="s">
        <v>40</v>
      </c>
      <c r="HI13" s="147" t="s">
        <v>7</v>
      </c>
      <c r="HJ13" s="148"/>
      <c r="HK13" s="3"/>
      <c r="HL13" s="22" t="s">
        <v>5</v>
      </c>
      <c r="HM13" s="47" t="s">
        <v>9</v>
      </c>
      <c r="HN13" s="1118" t="s">
        <v>13</v>
      </c>
      <c r="HO13" s="1115" t="s">
        <v>895</v>
      </c>
      <c r="HP13" s="7" t="s">
        <v>13</v>
      </c>
      <c r="HQ13" s="401" t="s">
        <v>35</v>
      </c>
      <c r="HR13" s="60" t="s">
        <v>32</v>
      </c>
      <c r="HS13" s="47" t="s">
        <v>35</v>
      </c>
      <c r="HT13" s="60" t="s">
        <v>40</v>
      </c>
      <c r="HU13" s="47" t="s">
        <v>35</v>
      </c>
      <c r="HV13" s="1118" t="s">
        <v>40</v>
      </c>
      <c r="HW13" s="47" t="s">
        <v>35</v>
      </c>
      <c r="HX13" s="60" t="s">
        <v>40</v>
      </c>
      <c r="HY13" s="47" t="s">
        <v>35</v>
      </c>
      <c r="HZ13" s="1118" t="s">
        <v>40</v>
      </c>
      <c r="IA13" s="147" t="s">
        <v>7</v>
      </c>
      <c r="IB13" s="3"/>
      <c r="IC13" s="3"/>
      <c r="ID13" s="22" t="s">
        <v>5</v>
      </c>
      <c r="IE13" s="47" t="s">
        <v>9</v>
      </c>
      <c r="IF13" s="1118" t="s">
        <v>13</v>
      </c>
      <c r="IG13" s="1115" t="s">
        <v>895</v>
      </c>
      <c r="IH13" s="7" t="s">
        <v>13</v>
      </c>
      <c r="II13" s="401" t="s">
        <v>35</v>
      </c>
      <c r="IJ13" s="60" t="s">
        <v>32</v>
      </c>
      <c r="IK13" s="47" t="s">
        <v>35</v>
      </c>
      <c r="IL13" s="60" t="s">
        <v>40</v>
      </c>
      <c r="IM13" s="47" t="s">
        <v>35</v>
      </c>
      <c r="IN13" s="1118" t="s">
        <v>40</v>
      </c>
      <c r="IO13" s="47" t="s">
        <v>35</v>
      </c>
      <c r="IP13" s="60" t="s">
        <v>40</v>
      </c>
      <c r="IQ13" s="47" t="s">
        <v>35</v>
      </c>
      <c r="IR13" s="1118" t="s">
        <v>40</v>
      </c>
      <c r="IS13" s="147" t="s">
        <v>7</v>
      </c>
      <c r="IT13" s="3"/>
      <c r="IU13" s="3"/>
      <c r="IV13" s="22" t="s">
        <v>5</v>
      </c>
      <c r="IW13" s="47" t="s">
        <v>9</v>
      </c>
      <c r="IX13" s="1118" t="s">
        <v>13</v>
      </c>
      <c r="IY13" s="1115" t="s">
        <v>895</v>
      </c>
      <c r="IZ13" s="7" t="s">
        <v>13</v>
      </c>
      <c r="JA13" s="401" t="s">
        <v>35</v>
      </c>
      <c r="JB13" s="60" t="s">
        <v>32</v>
      </c>
      <c r="JC13" s="47" t="s">
        <v>35</v>
      </c>
      <c r="JD13" s="60" t="s">
        <v>40</v>
      </c>
      <c r="JE13" s="47" t="s">
        <v>35</v>
      </c>
      <c r="JF13" s="1118" t="s">
        <v>40</v>
      </c>
      <c r="JG13" s="47" t="s">
        <v>35</v>
      </c>
      <c r="JH13" s="60" t="s">
        <v>40</v>
      </c>
      <c r="JI13" s="47" t="s">
        <v>35</v>
      </c>
      <c r="JJ13" s="1118" t="s">
        <v>40</v>
      </c>
      <c r="JK13" s="147" t="s">
        <v>7</v>
      </c>
      <c r="JM13" s="3"/>
      <c r="JN13" s="22" t="s">
        <v>5</v>
      </c>
      <c r="JO13" s="47" t="s">
        <v>9</v>
      </c>
      <c r="JP13" s="1118" t="s">
        <v>13</v>
      </c>
      <c r="JQ13" s="1115" t="s">
        <v>895</v>
      </c>
      <c r="JR13" s="7" t="s">
        <v>13</v>
      </c>
      <c r="JS13" s="401" t="s">
        <v>35</v>
      </c>
      <c r="JT13" s="60" t="s">
        <v>32</v>
      </c>
      <c r="JU13" s="47" t="s">
        <v>35</v>
      </c>
      <c r="JV13" s="60" t="s">
        <v>40</v>
      </c>
      <c r="JW13" s="47" t="s">
        <v>35</v>
      </c>
      <c r="JX13" s="1118" t="s">
        <v>40</v>
      </c>
      <c r="JY13" s="47" t="s">
        <v>35</v>
      </c>
      <c r="JZ13" s="60" t="s">
        <v>40</v>
      </c>
      <c r="KA13" s="47" t="s">
        <v>35</v>
      </c>
      <c r="KB13" s="1118" t="s">
        <v>40</v>
      </c>
      <c r="KC13" s="147" t="s">
        <v>7</v>
      </c>
      <c r="KD13" s="3"/>
      <c r="KE13" s="3"/>
      <c r="KF13" s="22" t="s">
        <v>5</v>
      </c>
      <c r="KG13" s="47" t="s">
        <v>9</v>
      </c>
      <c r="KH13" s="1118" t="s">
        <v>13</v>
      </c>
      <c r="KI13" s="1115" t="s">
        <v>895</v>
      </c>
      <c r="KJ13" s="7" t="s">
        <v>13</v>
      </c>
      <c r="KK13" s="401" t="s">
        <v>35</v>
      </c>
      <c r="KL13" s="60" t="s">
        <v>32</v>
      </c>
      <c r="KM13" s="47" t="s">
        <v>35</v>
      </c>
      <c r="KN13" s="60" t="s">
        <v>40</v>
      </c>
      <c r="KO13" s="47" t="s">
        <v>35</v>
      </c>
      <c r="KP13" s="1118" t="s">
        <v>40</v>
      </c>
      <c r="KQ13" s="47" t="s">
        <v>35</v>
      </c>
      <c r="KR13" s="60" t="s">
        <v>40</v>
      </c>
      <c r="KS13" s="47" t="s">
        <v>35</v>
      </c>
      <c r="KT13" s="1118" t="s">
        <v>40</v>
      </c>
      <c r="KU13" s="110" t="s">
        <v>7</v>
      </c>
      <c r="KV13" s="149"/>
      <c r="KW13" s="3"/>
      <c r="KX13" s="22" t="s">
        <v>5</v>
      </c>
      <c r="KY13" s="47" t="s">
        <v>9</v>
      </c>
      <c r="KZ13" s="1118" t="s">
        <v>13</v>
      </c>
      <c r="LA13" s="1115" t="s">
        <v>895</v>
      </c>
      <c r="LB13" s="7" t="s">
        <v>13</v>
      </c>
      <c r="LC13" s="401" t="s">
        <v>35</v>
      </c>
      <c r="LD13" s="60" t="s">
        <v>32</v>
      </c>
      <c r="LE13" s="47" t="s">
        <v>35</v>
      </c>
      <c r="LF13" s="60" t="s">
        <v>40</v>
      </c>
      <c r="LG13" s="47" t="s">
        <v>35</v>
      </c>
      <c r="LH13" s="1118" t="s">
        <v>40</v>
      </c>
      <c r="LI13" s="47" t="s">
        <v>35</v>
      </c>
      <c r="LJ13" s="60" t="s">
        <v>40</v>
      </c>
      <c r="LK13" s="47" t="s">
        <v>35</v>
      </c>
      <c r="LL13" s="1118" t="s">
        <v>40</v>
      </c>
      <c r="LM13" s="147" t="s">
        <v>7</v>
      </c>
      <c r="LN13" s="3"/>
      <c r="LO13" s="3"/>
      <c r="LP13" s="22" t="s">
        <v>5</v>
      </c>
      <c r="LQ13" s="47" t="s">
        <v>9</v>
      </c>
      <c r="LR13" s="1118" t="s">
        <v>13</v>
      </c>
      <c r="LS13" s="1115" t="s">
        <v>895</v>
      </c>
      <c r="LT13" s="7" t="s">
        <v>13</v>
      </c>
      <c r="LU13" s="401" t="s">
        <v>35</v>
      </c>
      <c r="LV13" s="60" t="s">
        <v>32</v>
      </c>
      <c r="LW13" s="47" t="s">
        <v>35</v>
      </c>
      <c r="LX13" s="60" t="s">
        <v>40</v>
      </c>
      <c r="LY13" s="47" t="s">
        <v>35</v>
      </c>
      <c r="LZ13" s="1118" t="s">
        <v>40</v>
      </c>
      <c r="MA13" s="47" t="s">
        <v>35</v>
      </c>
      <c r="MB13" s="60" t="s">
        <v>40</v>
      </c>
      <c r="MC13" s="47" t="s">
        <v>35</v>
      </c>
      <c r="MD13" s="1118" t="s">
        <v>40</v>
      </c>
      <c r="ME13" s="147" t="s">
        <v>7</v>
      </c>
      <c r="MG13" s="3"/>
      <c r="MH13" s="22" t="s">
        <v>5</v>
      </c>
      <c r="MI13" s="47" t="s">
        <v>9</v>
      </c>
      <c r="MJ13" s="1118" t="s">
        <v>13</v>
      </c>
      <c r="MK13" s="1115" t="s">
        <v>895</v>
      </c>
      <c r="ML13" s="7" t="s">
        <v>13</v>
      </c>
      <c r="MM13" s="401" t="s">
        <v>35</v>
      </c>
      <c r="MN13" s="60" t="s">
        <v>32</v>
      </c>
      <c r="MO13" s="47" t="s">
        <v>35</v>
      </c>
      <c r="MP13" s="60" t="s">
        <v>40</v>
      </c>
      <c r="MQ13" s="47" t="s">
        <v>35</v>
      </c>
      <c r="MR13" s="1118" t="s">
        <v>40</v>
      </c>
      <c r="MS13" s="47" t="s">
        <v>35</v>
      </c>
      <c r="MT13" s="60" t="s">
        <v>40</v>
      </c>
      <c r="MU13" s="47" t="s">
        <v>35</v>
      </c>
      <c r="MV13" s="1118" t="s">
        <v>40</v>
      </c>
      <c r="MW13" s="147" t="s">
        <v>7</v>
      </c>
      <c r="MX13" s="3"/>
      <c r="MY13" s="3"/>
      <c r="MZ13" s="22" t="s">
        <v>5</v>
      </c>
      <c r="NA13" s="47" t="s">
        <v>9</v>
      </c>
      <c r="NB13" s="1118" t="s">
        <v>13</v>
      </c>
      <c r="NC13" s="1115" t="s">
        <v>895</v>
      </c>
      <c r="ND13" s="7" t="s">
        <v>13</v>
      </c>
      <c r="NE13" s="401" t="s">
        <v>35</v>
      </c>
      <c r="NF13" s="60" t="s">
        <v>32</v>
      </c>
      <c r="NG13" s="47" t="s">
        <v>35</v>
      </c>
      <c r="NH13" s="60" t="s">
        <v>40</v>
      </c>
      <c r="NI13" s="47" t="s">
        <v>35</v>
      </c>
      <c r="NJ13" s="1118" t="s">
        <v>40</v>
      </c>
      <c r="NK13" s="47" t="s">
        <v>35</v>
      </c>
      <c r="NL13" s="60" t="s">
        <v>40</v>
      </c>
      <c r="NM13" s="47" t="s">
        <v>35</v>
      </c>
      <c r="NN13" s="1118" t="s">
        <v>40</v>
      </c>
      <c r="NO13" s="147" t="s">
        <v>7</v>
      </c>
      <c r="NP13" s="3"/>
      <c r="NQ13" s="3"/>
      <c r="NR13" s="22" t="s">
        <v>5</v>
      </c>
      <c r="NS13" s="47" t="s">
        <v>9</v>
      </c>
      <c r="NT13" s="1118" t="s">
        <v>13</v>
      </c>
      <c r="NU13" s="1115" t="s">
        <v>895</v>
      </c>
      <c r="NV13" s="7" t="s">
        <v>13</v>
      </c>
      <c r="NW13" s="401" t="s">
        <v>35</v>
      </c>
      <c r="NX13" s="60" t="s">
        <v>32</v>
      </c>
      <c r="NY13" s="47" t="s">
        <v>35</v>
      </c>
      <c r="NZ13" s="60" t="s">
        <v>40</v>
      </c>
      <c r="OA13" s="47" t="s">
        <v>35</v>
      </c>
      <c r="OB13" s="1118" t="s">
        <v>40</v>
      </c>
      <c r="OC13" s="47" t="s">
        <v>35</v>
      </c>
      <c r="OD13" s="60" t="s">
        <v>40</v>
      </c>
      <c r="OE13" s="47" t="s">
        <v>35</v>
      </c>
      <c r="OF13" s="1118" t="s">
        <v>40</v>
      </c>
      <c r="OG13" s="147" t="s">
        <v>7</v>
      </c>
      <c r="OH13" s="3"/>
      <c r="OI13" s="3"/>
      <c r="OJ13" s="22" t="s">
        <v>5</v>
      </c>
      <c r="OK13" s="47" t="s">
        <v>9</v>
      </c>
      <c r="OL13" s="1118" t="s">
        <v>13</v>
      </c>
      <c r="OM13" s="1115" t="s">
        <v>895</v>
      </c>
      <c r="ON13" s="7" t="s">
        <v>13</v>
      </c>
      <c r="OO13" s="401" t="s">
        <v>35</v>
      </c>
      <c r="OP13" s="60" t="s">
        <v>32</v>
      </c>
      <c r="OQ13" s="47" t="s">
        <v>35</v>
      </c>
      <c r="OR13" s="60" t="s">
        <v>40</v>
      </c>
      <c r="OS13" s="47" t="s">
        <v>35</v>
      </c>
      <c r="OT13" s="1118" t="s">
        <v>40</v>
      </c>
      <c r="OU13" s="47" t="s">
        <v>35</v>
      </c>
      <c r="OV13" s="60" t="s">
        <v>40</v>
      </c>
      <c r="OW13" s="47" t="s">
        <v>35</v>
      </c>
      <c r="OX13" s="1118" t="s">
        <v>40</v>
      </c>
      <c r="OY13" s="147" t="s">
        <v>7</v>
      </c>
      <c r="OZ13" s="3"/>
      <c r="PA13" s="3"/>
      <c r="PB13" s="22" t="s">
        <v>5</v>
      </c>
      <c r="PC13" s="47" t="s">
        <v>9</v>
      </c>
      <c r="PD13" s="1118" t="s">
        <v>13</v>
      </c>
      <c r="PE13" s="1115" t="s">
        <v>895</v>
      </c>
      <c r="PF13" s="7" t="s">
        <v>13</v>
      </c>
      <c r="PG13" s="401" t="s">
        <v>35</v>
      </c>
      <c r="PH13" s="60" t="s">
        <v>32</v>
      </c>
      <c r="PI13" s="47" t="s">
        <v>35</v>
      </c>
      <c r="PJ13" s="60" t="s">
        <v>40</v>
      </c>
      <c r="PK13" s="47" t="s">
        <v>35</v>
      </c>
      <c r="PL13" s="1118" t="s">
        <v>40</v>
      </c>
      <c r="PM13" s="47" t="s">
        <v>35</v>
      </c>
      <c r="PN13" s="60" t="s">
        <v>40</v>
      </c>
      <c r="PO13" s="47" t="s">
        <v>35</v>
      </c>
      <c r="PP13" s="1118" t="s">
        <v>40</v>
      </c>
      <c r="PQ13" s="147" t="s">
        <v>7</v>
      </c>
      <c r="PR13" s="3"/>
      <c r="PS13" s="3"/>
      <c r="PT13" s="22" t="s">
        <v>5</v>
      </c>
      <c r="PU13" s="47" t="s">
        <v>9</v>
      </c>
      <c r="PV13" s="1118" t="s">
        <v>13</v>
      </c>
      <c r="PW13" s="1115" t="s">
        <v>895</v>
      </c>
      <c r="PX13" s="7" t="s">
        <v>13</v>
      </c>
      <c r="PY13" s="401" t="s">
        <v>35</v>
      </c>
      <c r="PZ13" s="60" t="s">
        <v>32</v>
      </c>
      <c r="QA13" s="47" t="s">
        <v>35</v>
      </c>
      <c r="QB13" s="60" t="s">
        <v>40</v>
      </c>
      <c r="QC13" s="47" t="s">
        <v>35</v>
      </c>
      <c r="QD13" s="1118" t="s">
        <v>40</v>
      </c>
      <c r="QE13" s="47" t="s">
        <v>35</v>
      </c>
      <c r="QF13" s="60" t="s">
        <v>40</v>
      </c>
      <c r="QG13" s="47" t="s">
        <v>35</v>
      </c>
      <c r="QH13" s="1118" t="s">
        <v>40</v>
      </c>
      <c r="QJ13" s="331" t="s">
        <v>7</v>
      </c>
      <c r="QK13" s="332"/>
      <c r="QL13" s="332"/>
      <c r="QM13" s="22" t="s">
        <v>5</v>
      </c>
      <c r="QN13" s="47" t="s">
        <v>9</v>
      </c>
      <c r="QO13" s="1118" t="s">
        <v>13</v>
      </c>
      <c r="QP13" s="1115" t="s">
        <v>895</v>
      </c>
      <c r="QQ13" s="7" t="s">
        <v>13</v>
      </c>
      <c r="QR13" s="401" t="s">
        <v>35</v>
      </c>
      <c r="QS13" s="60" t="s">
        <v>32</v>
      </c>
      <c r="QT13" s="47" t="s">
        <v>35</v>
      </c>
      <c r="QU13" s="60" t="s">
        <v>40</v>
      </c>
      <c r="QV13" s="47" t="s">
        <v>35</v>
      </c>
      <c r="QW13" s="1118" t="s">
        <v>40</v>
      </c>
      <c r="QX13" s="47" t="s">
        <v>35</v>
      </c>
      <c r="QY13" s="60" t="s">
        <v>40</v>
      </c>
      <c r="QZ13" s="47" t="s">
        <v>35</v>
      </c>
      <c r="RA13" s="1118" t="s">
        <v>40</v>
      </c>
      <c r="RB13" s="48" t="s">
        <v>7</v>
      </c>
      <c r="RC13" s="8"/>
      <c r="RD13" s="3"/>
      <c r="RE13" s="22" t="s">
        <v>5</v>
      </c>
      <c r="RF13" s="47" t="s">
        <v>9</v>
      </c>
      <c r="RG13" s="1118" t="s">
        <v>13</v>
      </c>
      <c r="RH13" s="1115" t="s">
        <v>895</v>
      </c>
      <c r="RI13" s="7" t="s">
        <v>13</v>
      </c>
      <c r="RJ13" s="401" t="s">
        <v>35</v>
      </c>
      <c r="RK13" s="60" t="s">
        <v>32</v>
      </c>
      <c r="RL13" s="47" t="s">
        <v>35</v>
      </c>
      <c r="RM13" s="60" t="s">
        <v>40</v>
      </c>
      <c r="RN13" s="47" t="s">
        <v>35</v>
      </c>
      <c r="RO13" s="1118" t="s">
        <v>40</v>
      </c>
      <c r="RP13" s="47" t="s">
        <v>35</v>
      </c>
      <c r="RQ13" s="60" t="s">
        <v>40</v>
      </c>
      <c r="RR13" s="47" t="s">
        <v>35</v>
      </c>
      <c r="RS13" s="1118" t="s">
        <v>40</v>
      </c>
      <c r="RT13" s="331" t="s">
        <v>7</v>
      </c>
      <c r="RU13" s="332"/>
      <c r="RV13" s="332"/>
      <c r="RW13" s="22" t="s">
        <v>5</v>
      </c>
      <c r="RX13" s="47" t="s">
        <v>9</v>
      </c>
      <c r="RY13" s="1118" t="s">
        <v>13</v>
      </c>
      <c r="RZ13" s="1115" t="s">
        <v>895</v>
      </c>
      <c r="SA13" s="7" t="s">
        <v>13</v>
      </c>
      <c r="SB13" s="401" t="s">
        <v>35</v>
      </c>
      <c r="SC13" s="60" t="s">
        <v>32</v>
      </c>
      <c r="SD13" s="47" t="s">
        <v>35</v>
      </c>
      <c r="SE13" s="60" t="s">
        <v>40</v>
      </c>
      <c r="SF13" s="47" t="s">
        <v>35</v>
      </c>
      <c r="SG13" s="1118" t="s">
        <v>40</v>
      </c>
      <c r="SH13" s="47" t="s">
        <v>35</v>
      </c>
      <c r="SI13" s="60" t="s">
        <v>40</v>
      </c>
      <c r="SJ13" s="47" t="s">
        <v>35</v>
      </c>
      <c r="SK13" s="1118" t="s">
        <v>40</v>
      </c>
      <c r="SL13" s="331" t="s">
        <v>7</v>
      </c>
      <c r="SM13" s="332"/>
      <c r="SN13" s="332"/>
      <c r="SO13" s="22" t="s">
        <v>5</v>
      </c>
      <c r="SP13" s="47" t="s">
        <v>9</v>
      </c>
      <c r="SQ13" s="1118" t="s">
        <v>13</v>
      </c>
      <c r="SR13" s="1115" t="s">
        <v>895</v>
      </c>
      <c r="SS13" s="7" t="s">
        <v>13</v>
      </c>
      <c r="ST13" s="401" t="s">
        <v>35</v>
      </c>
      <c r="SU13" s="60" t="s">
        <v>32</v>
      </c>
      <c r="SV13" s="47" t="s">
        <v>35</v>
      </c>
      <c r="SW13" s="60" t="s">
        <v>40</v>
      </c>
      <c r="SX13" s="47" t="s">
        <v>35</v>
      </c>
      <c r="SY13" s="1118" t="s">
        <v>40</v>
      </c>
      <c r="SZ13" s="47" t="s">
        <v>35</v>
      </c>
      <c r="TA13" s="60" t="s">
        <v>40</v>
      </c>
      <c r="TB13" s="47" t="s">
        <v>35</v>
      </c>
      <c r="TC13" s="1118" t="s">
        <v>40</v>
      </c>
      <c r="TE13" s="331" t="s">
        <v>7</v>
      </c>
      <c r="TF13" s="332"/>
      <c r="TG13" s="332"/>
      <c r="TH13" s="22" t="s">
        <v>5</v>
      </c>
      <c r="TI13" s="47" t="s">
        <v>9</v>
      </c>
      <c r="TJ13" s="1118" t="s">
        <v>13</v>
      </c>
      <c r="TK13" s="1115" t="s">
        <v>895</v>
      </c>
      <c r="TL13" s="7" t="s">
        <v>13</v>
      </c>
      <c r="TM13" s="401" t="s">
        <v>35</v>
      </c>
      <c r="TN13" s="60" t="s">
        <v>32</v>
      </c>
      <c r="TO13" s="47" t="s">
        <v>35</v>
      </c>
      <c r="TP13" s="60" t="s">
        <v>40</v>
      </c>
      <c r="TQ13" s="47" t="s">
        <v>35</v>
      </c>
      <c r="TR13" s="1118" t="s">
        <v>40</v>
      </c>
      <c r="TS13" s="47" t="s">
        <v>35</v>
      </c>
      <c r="TT13" s="60" t="s">
        <v>40</v>
      </c>
      <c r="TU13" s="47" t="s">
        <v>35</v>
      </c>
      <c r="TV13" s="1118" t="s">
        <v>40</v>
      </c>
      <c r="TW13"/>
      <c r="TX13" s="331" t="s">
        <v>7</v>
      </c>
      <c r="TY13" s="332"/>
      <c r="TZ13" s="332"/>
      <c r="UA13" s="22" t="s">
        <v>5</v>
      </c>
      <c r="UB13" s="47" t="s">
        <v>9</v>
      </c>
      <c r="UC13" s="1118" t="s">
        <v>13</v>
      </c>
      <c r="UD13" s="1115" t="s">
        <v>895</v>
      </c>
      <c r="UE13" s="7" t="s">
        <v>13</v>
      </c>
      <c r="UF13" s="401" t="s">
        <v>35</v>
      </c>
      <c r="UG13" s="60" t="s">
        <v>32</v>
      </c>
      <c r="UH13" s="47" t="s">
        <v>35</v>
      </c>
      <c r="UI13" s="60" t="s">
        <v>40</v>
      </c>
      <c r="UJ13" s="47" t="s">
        <v>35</v>
      </c>
      <c r="UK13" s="1118" t="s">
        <v>40</v>
      </c>
      <c r="UL13" s="47" t="s">
        <v>35</v>
      </c>
      <c r="UM13" s="60" t="s">
        <v>40</v>
      </c>
      <c r="UN13" s="47" t="s">
        <v>35</v>
      </c>
      <c r="UO13" s="1118" t="s">
        <v>40</v>
      </c>
      <c r="UQ13" s="331" t="s">
        <v>7</v>
      </c>
      <c r="UR13" s="332"/>
      <c r="US13" s="332"/>
      <c r="UT13" s="22" t="s">
        <v>5</v>
      </c>
      <c r="UU13" s="47" t="s">
        <v>9</v>
      </c>
      <c r="UV13" s="1118" t="s">
        <v>13</v>
      </c>
      <c r="UW13" s="1115" t="s">
        <v>895</v>
      </c>
      <c r="UX13" s="7" t="s">
        <v>13</v>
      </c>
      <c r="UY13" s="401" t="s">
        <v>35</v>
      </c>
      <c r="UZ13" s="60" t="s">
        <v>32</v>
      </c>
      <c r="VA13" s="47" t="s">
        <v>35</v>
      </c>
      <c r="VB13" s="60" t="s">
        <v>40</v>
      </c>
      <c r="VC13" s="47" t="s">
        <v>35</v>
      </c>
      <c r="VD13" s="1118" t="s">
        <v>40</v>
      </c>
      <c r="VE13" s="47" t="s">
        <v>35</v>
      </c>
      <c r="VF13" s="60" t="s">
        <v>40</v>
      </c>
      <c r="VG13" s="47" t="s">
        <v>35</v>
      </c>
      <c r="VH13" s="1118" t="s">
        <v>40</v>
      </c>
      <c r="VJ13" s="147" t="s">
        <v>7</v>
      </c>
      <c r="VK13" s="3"/>
      <c r="VL13" s="3"/>
      <c r="VM13" s="22" t="s">
        <v>5</v>
      </c>
      <c r="VN13" s="47" t="s">
        <v>9</v>
      </c>
      <c r="VO13" s="1118" t="s">
        <v>13</v>
      </c>
      <c r="VP13" s="1115" t="s">
        <v>895</v>
      </c>
      <c r="VQ13" s="7" t="s">
        <v>13</v>
      </c>
      <c r="VR13" s="401" t="s">
        <v>35</v>
      </c>
      <c r="VS13" s="60" t="s">
        <v>32</v>
      </c>
      <c r="VT13" s="47" t="s">
        <v>35</v>
      </c>
      <c r="VU13" s="60" t="s">
        <v>40</v>
      </c>
      <c r="VV13" s="47" t="s">
        <v>35</v>
      </c>
      <c r="VW13" s="1118" t="s">
        <v>40</v>
      </c>
      <c r="VY13" s="331" t="s">
        <v>7</v>
      </c>
      <c r="VZ13" s="332"/>
      <c r="WA13" s="332"/>
      <c r="WB13" s="22" t="s">
        <v>5</v>
      </c>
      <c r="WC13" s="47" t="s">
        <v>9</v>
      </c>
      <c r="WD13" s="1118" t="s">
        <v>13</v>
      </c>
      <c r="WE13" s="1115" t="s">
        <v>895</v>
      </c>
      <c r="WF13" s="7" t="s">
        <v>13</v>
      </c>
      <c r="WG13" s="401" t="s">
        <v>35</v>
      </c>
      <c r="WH13" s="60" t="s">
        <v>32</v>
      </c>
      <c r="WI13" s="47" t="s">
        <v>35</v>
      </c>
      <c r="WJ13" s="60" t="s">
        <v>40</v>
      </c>
      <c r="WK13" s="47" t="s">
        <v>35</v>
      </c>
      <c r="WL13" s="1118" t="s">
        <v>40</v>
      </c>
    </row>
    <row r="14" spans="1:610" ht="15" thickBot="1" x14ac:dyDescent="0.4">
      <c r="A14" s="151" t="s">
        <v>78</v>
      </c>
      <c r="B14" s="128" t="s">
        <v>8</v>
      </c>
      <c r="C14" s="152" t="s">
        <v>194</v>
      </c>
      <c r="D14" s="23" t="s">
        <v>6</v>
      </c>
      <c r="E14" s="48" t="s">
        <v>10</v>
      </c>
      <c r="F14" s="1119" t="s">
        <v>15</v>
      </c>
      <c r="G14" s="1116" t="s">
        <v>10</v>
      </c>
      <c r="H14" s="8" t="s">
        <v>15</v>
      </c>
      <c r="I14" s="402" t="s">
        <v>10</v>
      </c>
      <c r="J14" s="61" t="s">
        <v>33</v>
      </c>
      <c r="K14" s="48" t="s">
        <v>10</v>
      </c>
      <c r="L14" s="61" t="s">
        <v>33</v>
      </c>
      <c r="M14" s="48" t="s">
        <v>10</v>
      </c>
      <c r="N14" s="1119" t="s">
        <v>37</v>
      </c>
      <c r="O14" s="48" t="s">
        <v>10</v>
      </c>
      <c r="P14" s="61" t="s">
        <v>33</v>
      </c>
      <c r="Q14" s="48" t="s">
        <v>10</v>
      </c>
      <c r="R14" s="1119" t="s">
        <v>37</v>
      </c>
      <c r="S14" s="151" t="s">
        <v>78</v>
      </c>
      <c r="T14" s="153" t="s">
        <v>8</v>
      </c>
      <c r="U14" s="152" t="s">
        <v>194</v>
      </c>
      <c r="V14" s="23" t="s">
        <v>6</v>
      </c>
      <c r="W14" s="48" t="s">
        <v>10</v>
      </c>
      <c r="X14" s="1119" t="s">
        <v>15</v>
      </c>
      <c r="Y14" s="1116" t="s">
        <v>10</v>
      </c>
      <c r="Z14" s="8" t="s">
        <v>15</v>
      </c>
      <c r="AA14" s="402" t="s">
        <v>10</v>
      </c>
      <c r="AB14" s="61" t="s">
        <v>33</v>
      </c>
      <c r="AC14" s="48" t="s">
        <v>10</v>
      </c>
      <c r="AD14" s="61" t="s">
        <v>33</v>
      </c>
      <c r="AE14" s="48" t="s">
        <v>10</v>
      </c>
      <c r="AF14" s="1119" t="s">
        <v>37</v>
      </c>
      <c r="AG14" s="48" t="s">
        <v>10</v>
      </c>
      <c r="AH14" s="61" t="s">
        <v>33</v>
      </c>
      <c r="AI14" s="48" t="s">
        <v>10</v>
      </c>
      <c r="AJ14" s="1119" t="s">
        <v>37</v>
      </c>
      <c r="AK14" s="128" t="s">
        <v>78</v>
      </c>
      <c r="AL14" s="128" t="s">
        <v>8</v>
      </c>
      <c r="AM14" s="152" t="s">
        <v>194</v>
      </c>
      <c r="AN14" s="23" t="s">
        <v>6</v>
      </c>
      <c r="AO14" s="48" t="s">
        <v>10</v>
      </c>
      <c r="AP14" s="1119" t="s">
        <v>15</v>
      </c>
      <c r="AQ14" s="1116" t="s">
        <v>10</v>
      </c>
      <c r="AR14" s="8" t="s">
        <v>15</v>
      </c>
      <c r="AS14" s="402" t="s">
        <v>10</v>
      </c>
      <c r="AT14" s="61" t="s">
        <v>33</v>
      </c>
      <c r="AU14" s="48" t="s">
        <v>10</v>
      </c>
      <c r="AV14" s="61" t="s">
        <v>33</v>
      </c>
      <c r="AW14" s="48" t="s">
        <v>10</v>
      </c>
      <c r="AX14" s="1119" t="s">
        <v>37</v>
      </c>
      <c r="AY14" s="48" t="s">
        <v>10</v>
      </c>
      <c r="AZ14" s="61" t="s">
        <v>33</v>
      </c>
      <c r="BA14" s="48" t="s">
        <v>10</v>
      </c>
      <c r="BB14" s="1119" t="s">
        <v>37</v>
      </c>
      <c r="BC14" s="151" t="s">
        <v>78</v>
      </c>
      <c r="BD14" s="128" t="s">
        <v>8</v>
      </c>
      <c r="BE14" s="152" t="s">
        <v>194</v>
      </c>
      <c r="BF14" s="23" t="s">
        <v>6</v>
      </c>
      <c r="BG14" s="48" t="s">
        <v>10</v>
      </c>
      <c r="BH14" s="1119" t="s">
        <v>15</v>
      </c>
      <c r="BI14" s="1116" t="s">
        <v>10</v>
      </c>
      <c r="BJ14" s="8" t="s">
        <v>15</v>
      </c>
      <c r="BK14" s="402" t="s">
        <v>10</v>
      </c>
      <c r="BL14" s="61" t="s">
        <v>33</v>
      </c>
      <c r="BM14" s="48" t="s">
        <v>10</v>
      </c>
      <c r="BN14" s="61" t="s">
        <v>33</v>
      </c>
      <c r="BO14" s="48" t="s">
        <v>10</v>
      </c>
      <c r="BP14" s="1119" t="s">
        <v>37</v>
      </c>
      <c r="BQ14" s="48" t="s">
        <v>10</v>
      </c>
      <c r="BR14" s="61" t="s">
        <v>33</v>
      </c>
      <c r="BS14" s="48" t="s">
        <v>10</v>
      </c>
      <c r="BT14" s="1119" t="s">
        <v>37</v>
      </c>
      <c r="BU14" s="128" t="s">
        <v>78</v>
      </c>
      <c r="BV14" s="128" t="s">
        <v>8</v>
      </c>
      <c r="BW14" s="152" t="s">
        <v>194</v>
      </c>
      <c r="BX14" s="23" t="s">
        <v>6</v>
      </c>
      <c r="BY14" s="48" t="s">
        <v>10</v>
      </c>
      <c r="BZ14" s="1119" t="s">
        <v>15</v>
      </c>
      <c r="CA14" s="1116" t="s">
        <v>10</v>
      </c>
      <c r="CB14" s="8" t="s">
        <v>15</v>
      </c>
      <c r="CC14" s="402" t="s">
        <v>10</v>
      </c>
      <c r="CD14" s="61" t="s">
        <v>33</v>
      </c>
      <c r="CE14" s="48" t="s">
        <v>10</v>
      </c>
      <c r="CF14" s="61" t="s">
        <v>33</v>
      </c>
      <c r="CG14" s="48" t="s">
        <v>10</v>
      </c>
      <c r="CH14" s="1119" t="s">
        <v>37</v>
      </c>
      <c r="CI14" s="48" t="s">
        <v>10</v>
      </c>
      <c r="CJ14" s="61" t="s">
        <v>33</v>
      </c>
      <c r="CK14" s="48" t="s">
        <v>10</v>
      </c>
      <c r="CL14" s="1119" t="s">
        <v>37</v>
      </c>
      <c r="CM14" s="128" t="s">
        <v>78</v>
      </c>
      <c r="CN14" s="128" t="s">
        <v>8</v>
      </c>
      <c r="CO14" s="152" t="s">
        <v>194</v>
      </c>
      <c r="CP14" s="23" t="s">
        <v>6</v>
      </c>
      <c r="CQ14" s="48" t="s">
        <v>10</v>
      </c>
      <c r="CR14" s="1119" t="s">
        <v>15</v>
      </c>
      <c r="CS14" s="1116" t="s">
        <v>10</v>
      </c>
      <c r="CT14" s="8" t="s">
        <v>15</v>
      </c>
      <c r="CU14" s="402" t="s">
        <v>10</v>
      </c>
      <c r="CV14" s="61" t="s">
        <v>33</v>
      </c>
      <c r="CW14" s="48" t="s">
        <v>10</v>
      </c>
      <c r="CX14" s="61" t="s">
        <v>33</v>
      </c>
      <c r="CY14" s="48" t="s">
        <v>10</v>
      </c>
      <c r="CZ14" s="1119" t="s">
        <v>37</v>
      </c>
      <c r="DA14" s="48" t="s">
        <v>10</v>
      </c>
      <c r="DB14" s="61" t="s">
        <v>33</v>
      </c>
      <c r="DC14" s="48" t="s">
        <v>10</v>
      </c>
      <c r="DD14" s="1119" t="s">
        <v>37</v>
      </c>
      <c r="DE14" s="128" t="s">
        <v>78</v>
      </c>
      <c r="DF14" s="157" t="s">
        <v>8</v>
      </c>
      <c r="DG14" s="155" t="s">
        <v>194</v>
      </c>
      <c r="DH14" s="23" t="s">
        <v>6</v>
      </c>
      <c r="DI14" s="48" t="s">
        <v>10</v>
      </c>
      <c r="DJ14" s="1119" t="s">
        <v>15</v>
      </c>
      <c r="DK14" s="1116" t="s">
        <v>10</v>
      </c>
      <c r="DL14" s="8" t="s">
        <v>15</v>
      </c>
      <c r="DM14" s="402" t="s">
        <v>10</v>
      </c>
      <c r="DN14" s="61" t="s">
        <v>33</v>
      </c>
      <c r="DO14" s="48" t="s">
        <v>10</v>
      </c>
      <c r="DP14" s="61" t="s">
        <v>33</v>
      </c>
      <c r="DQ14" s="48" t="s">
        <v>10</v>
      </c>
      <c r="DR14" s="1119" t="s">
        <v>37</v>
      </c>
      <c r="DS14" s="48" t="s">
        <v>10</v>
      </c>
      <c r="DT14" s="61" t="s">
        <v>33</v>
      </c>
      <c r="DU14" s="48" t="s">
        <v>10</v>
      </c>
      <c r="DV14" s="1119" t="s">
        <v>37</v>
      </c>
      <c r="DW14" s="128" t="s">
        <v>78</v>
      </c>
      <c r="DX14" s="156" t="s">
        <v>8</v>
      </c>
      <c r="DY14" s="155" t="s">
        <v>194</v>
      </c>
      <c r="DZ14" s="23" t="s">
        <v>6</v>
      </c>
      <c r="EA14" s="48" t="s">
        <v>10</v>
      </c>
      <c r="EB14" s="1119" t="s">
        <v>15</v>
      </c>
      <c r="EC14" s="1116" t="s">
        <v>10</v>
      </c>
      <c r="ED14" s="8" t="s">
        <v>15</v>
      </c>
      <c r="EE14" s="402" t="s">
        <v>10</v>
      </c>
      <c r="EF14" s="61" t="s">
        <v>33</v>
      </c>
      <c r="EG14" s="48" t="s">
        <v>10</v>
      </c>
      <c r="EH14" s="61" t="s">
        <v>33</v>
      </c>
      <c r="EI14" s="48" t="s">
        <v>10</v>
      </c>
      <c r="EJ14" s="1119" t="s">
        <v>37</v>
      </c>
      <c r="EK14" s="48" t="s">
        <v>10</v>
      </c>
      <c r="EL14" s="61" t="s">
        <v>33</v>
      </c>
      <c r="EM14" s="48" t="s">
        <v>10</v>
      </c>
      <c r="EN14" s="1119" t="s">
        <v>37</v>
      </c>
      <c r="EO14" s="128" t="s">
        <v>78</v>
      </c>
      <c r="EP14" s="128" t="s">
        <v>8</v>
      </c>
      <c r="EQ14" s="128"/>
      <c r="ER14" s="23" t="s">
        <v>6</v>
      </c>
      <c r="ES14" s="48" t="s">
        <v>10</v>
      </c>
      <c r="ET14" s="1119" t="s">
        <v>15</v>
      </c>
      <c r="EU14" s="1116" t="s">
        <v>10</v>
      </c>
      <c r="EV14" s="8" t="s">
        <v>15</v>
      </c>
      <c r="EW14" s="402" t="s">
        <v>10</v>
      </c>
      <c r="EX14" s="61" t="s">
        <v>33</v>
      </c>
      <c r="EY14" s="48" t="s">
        <v>10</v>
      </c>
      <c r="EZ14" s="61" t="s">
        <v>33</v>
      </c>
      <c r="FA14" s="48" t="s">
        <v>10</v>
      </c>
      <c r="FB14" s="1119" t="s">
        <v>37</v>
      </c>
      <c r="FC14" s="48" t="s">
        <v>10</v>
      </c>
      <c r="FD14" s="61" t="s">
        <v>33</v>
      </c>
      <c r="FE14" s="48" t="s">
        <v>10</v>
      </c>
      <c r="FF14" s="1119" t="s">
        <v>37</v>
      </c>
      <c r="FG14" s="128" t="s">
        <v>78</v>
      </c>
      <c r="FH14" s="154" t="s">
        <v>8</v>
      </c>
      <c r="FI14" s="152" t="s">
        <v>194</v>
      </c>
      <c r="FJ14" s="23" t="s">
        <v>6</v>
      </c>
      <c r="FK14" s="48" t="s">
        <v>10</v>
      </c>
      <c r="FL14" s="1119" t="s">
        <v>15</v>
      </c>
      <c r="FM14" s="1116" t="s">
        <v>10</v>
      </c>
      <c r="FN14" s="8" t="s">
        <v>15</v>
      </c>
      <c r="FO14" s="402" t="s">
        <v>10</v>
      </c>
      <c r="FP14" s="61" t="s">
        <v>33</v>
      </c>
      <c r="FQ14" s="48" t="s">
        <v>10</v>
      </c>
      <c r="FR14" s="61" t="s">
        <v>33</v>
      </c>
      <c r="FS14" s="48" t="s">
        <v>10</v>
      </c>
      <c r="FT14" s="1119" t="s">
        <v>37</v>
      </c>
      <c r="FU14" s="48" t="s">
        <v>10</v>
      </c>
      <c r="FV14" s="61" t="s">
        <v>33</v>
      </c>
      <c r="FW14" s="48" t="s">
        <v>10</v>
      </c>
      <c r="FX14" s="1119" t="s">
        <v>37</v>
      </c>
      <c r="FY14" s="128" t="s">
        <v>78</v>
      </c>
      <c r="FZ14" s="128" t="s">
        <v>8</v>
      </c>
      <c r="GA14" s="155" t="s">
        <v>194</v>
      </c>
      <c r="GB14" s="23" t="s">
        <v>6</v>
      </c>
      <c r="GC14" s="48" t="s">
        <v>10</v>
      </c>
      <c r="GD14" s="1119" t="s">
        <v>15</v>
      </c>
      <c r="GE14" s="1116" t="s">
        <v>10</v>
      </c>
      <c r="GF14" s="8" t="s">
        <v>15</v>
      </c>
      <c r="GG14" s="402" t="s">
        <v>10</v>
      </c>
      <c r="GH14" s="61" t="s">
        <v>33</v>
      </c>
      <c r="GI14" s="48" t="s">
        <v>10</v>
      </c>
      <c r="GJ14" s="61" t="s">
        <v>33</v>
      </c>
      <c r="GK14" s="48" t="s">
        <v>10</v>
      </c>
      <c r="GL14" s="1119" t="s">
        <v>37</v>
      </c>
      <c r="GM14" s="48" t="s">
        <v>10</v>
      </c>
      <c r="GN14" s="61" t="s">
        <v>33</v>
      </c>
      <c r="GO14" s="48" t="s">
        <v>10</v>
      </c>
      <c r="GP14" s="1119" t="s">
        <v>37</v>
      </c>
      <c r="GQ14" s="128" t="s">
        <v>78</v>
      </c>
      <c r="GR14" s="157" t="s">
        <v>8</v>
      </c>
      <c r="GS14" s="155" t="s">
        <v>194</v>
      </c>
      <c r="GT14" s="23" t="s">
        <v>6</v>
      </c>
      <c r="GU14" s="48" t="s">
        <v>10</v>
      </c>
      <c r="GV14" s="1119" t="s">
        <v>15</v>
      </c>
      <c r="GW14" s="1116" t="s">
        <v>10</v>
      </c>
      <c r="GX14" s="8" t="s">
        <v>15</v>
      </c>
      <c r="GY14" s="402" t="s">
        <v>10</v>
      </c>
      <c r="GZ14" s="61" t="s">
        <v>33</v>
      </c>
      <c r="HA14" s="48" t="s">
        <v>10</v>
      </c>
      <c r="HB14" s="61" t="s">
        <v>33</v>
      </c>
      <c r="HC14" s="48" t="s">
        <v>10</v>
      </c>
      <c r="HD14" s="1119" t="s">
        <v>37</v>
      </c>
      <c r="HE14" s="48" t="s">
        <v>10</v>
      </c>
      <c r="HF14" s="61" t="s">
        <v>33</v>
      </c>
      <c r="HG14" s="48" t="s">
        <v>10</v>
      </c>
      <c r="HH14" s="1119" t="s">
        <v>37</v>
      </c>
      <c r="HI14" s="151" t="s">
        <v>78</v>
      </c>
      <c r="HJ14" s="157" t="s">
        <v>8</v>
      </c>
      <c r="HK14" s="155" t="s">
        <v>194</v>
      </c>
      <c r="HL14" s="23" t="s">
        <v>6</v>
      </c>
      <c r="HM14" s="48" t="s">
        <v>10</v>
      </c>
      <c r="HN14" s="1119" t="s">
        <v>15</v>
      </c>
      <c r="HO14" s="1116" t="s">
        <v>10</v>
      </c>
      <c r="HP14" s="8" t="s">
        <v>15</v>
      </c>
      <c r="HQ14" s="402" t="s">
        <v>10</v>
      </c>
      <c r="HR14" s="61" t="s">
        <v>33</v>
      </c>
      <c r="HS14" s="48" t="s">
        <v>10</v>
      </c>
      <c r="HT14" s="61" t="s">
        <v>33</v>
      </c>
      <c r="HU14" s="48" t="s">
        <v>10</v>
      </c>
      <c r="HV14" s="1119" t="s">
        <v>37</v>
      </c>
      <c r="HW14" s="48" t="s">
        <v>10</v>
      </c>
      <c r="HX14" s="61" t="s">
        <v>33</v>
      </c>
      <c r="HY14" s="48" t="s">
        <v>10</v>
      </c>
      <c r="HZ14" s="1119" t="s">
        <v>37</v>
      </c>
      <c r="IA14" s="128" t="s">
        <v>78</v>
      </c>
      <c r="IB14" s="128" t="s">
        <v>8</v>
      </c>
      <c r="IC14" s="155" t="s">
        <v>194</v>
      </c>
      <c r="ID14" s="23" t="s">
        <v>6</v>
      </c>
      <c r="IE14" s="48" t="s">
        <v>10</v>
      </c>
      <c r="IF14" s="1119" t="s">
        <v>15</v>
      </c>
      <c r="IG14" s="1116" t="s">
        <v>10</v>
      </c>
      <c r="IH14" s="8" t="s">
        <v>15</v>
      </c>
      <c r="II14" s="402" t="s">
        <v>10</v>
      </c>
      <c r="IJ14" s="61" t="s">
        <v>33</v>
      </c>
      <c r="IK14" s="48" t="s">
        <v>10</v>
      </c>
      <c r="IL14" s="61" t="s">
        <v>33</v>
      </c>
      <c r="IM14" s="48" t="s">
        <v>10</v>
      </c>
      <c r="IN14" s="1119" t="s">
        <v>37</v>
      </c>
      <c r="IO14" s="48" t="s">
        <v>10</v>
      </c>
      <c r="IP14" s="61" t="s">
        <v>33</v>
      </c>
      <c r="IQ14" s="48" t="s">
        <v>10</v>
      </c>
      <c r="IR14" s="1119" t="s">
        <v>37</v>
      </c>
      <c r="IS14" s="128" t="s">
        <v>78</v>
      </c>
      <c r="IT14" s="128" t="s">
        <v>8</v>
      </c>
      <c r="IU14" s="155" t="s">
        <v>194</v>
      </c>
      <c r="IV14" s="23" t="s">
        <v>6</v>
      </c>
      <c r="IW14" s="48" t="s">
        <v>10</v>
      </c>
      <c r="IX14" s="1119" t="s">
        <v>15</v>
      </c>
      <c r="IY14" s="1116" t="s">
        <v>10</v>
      </c>
      <c r="IZ14" s="8" t="s">
        <v>15</v>
      </c>
      <c r="JA14" s="402" t="s">
        <v>10</v>
      </c>
      <c r="JB14" s="61" t="s">
        <v>33</v>
      </c>
      <c r="JC14" s="48" t="s">
        <v>10</v>
      </c>
      <c r="JD14" s="61" t="s">
        <v>33</v>
      </c>
      <c r="JE14" s="48" t="s">
        <v>10</v>
      </c>
      <c r="JF14" s="1119" t="s">
        <v>37</v>
      </c>
      <c r="JG14" s="48" t="s">
        <v>10</v>
      </c>
      <c r="JH14" s="61" t="s">
        <v>33</v>
      </c>
      <c r="JI14" s="48" t="s">
        <v>10</v>
      </c>
      <c r="JJ14" s="1119" t="s">
        <v>37</v>
      </c>
      <c r="JK14" s="128" t="s">
        <v>78</v>
      </c>
      <c r="JL14" s="156" t="s">
        <v>8</v>
      </c>
      <c r="JM14" s="155" t="s">
        <v>194</v>
      </c>
      <c r="JN14" s="23" t="s">
        <v>6</v>
      </c>
      <c r="JO14" s="48" t="s">
        <v>10</v>
      </c>
      <c r="JP14" s="1119" t="s">
        <v>15</v>
      </c>
      <c r="JQ14" s="1116" t="s">
        <v>10</v>
      </c>
      <c r="JR14" s="8" t="s">
        <v>15</v>
      </c>
      <c r="JS14" s="402" t="s">
        <v>10</v>
      </c>
      <c r="JT14" s="61" t="s">
        <v>33</v>
      </c>
      <c r="JU14" s="48" t="s">
        <v>10</v>
      </c>
      <c r="JV14" s="61" t="s">
        <v>33</v>
      </c>
      <c r="JW14" s="48" t="s">
        <v>10</v>
      </c>
      <c r="JX14" s="1119" t="s">
        <v>37</v>
      </c>
      <c r="JY14" s="48" t="s">
        <v>10</v>
      </c>
      <c r="JZ14" s="61" t="s">
        <v>33</v>
      </c>
      <c r="KA14" s="48" t="s">
        <v>10</v>
      </c>
      <c r="KB14" s="1119" t="s">
        <v>37</v>
      </c>
      <c r="KC14" s="128" t="s">
        <v>78</v>
      </c>
      <c r="KD14" s="128" t="s">
        <v>8</v>
      </c>
      <c r="KE14" s="155" t="s">
        <v>194</v>
      </c>
      <c r="KF14" s="23" t="s">
        <v>6</v>
      </c>
      <c r="KG14" s="48" t="s">
        <v>10</v>
      </c>
      <c r="KH14" s="1119" t="s">
        <v>15</v>
      </c>
      <c r="KI14" s="1116" t="s">
        <v>10</v>
      </c>
      <c r="KJ14" s="8" t="s">
        <v>15</v>
      </c>
      <c r="KK14" s="402" t="s">
        <v>10</v>
      </c>
      <c r="KL14" s="61" t="s">
        <v>33</v>
      </c>
      <c r="KM14" s="48" t="s">
        <v>10</v>
      </c>
      <c r="KN14" s="61" t="s">
        <v>33</v>
      </c>
      <c r="KO14" s="48" t="s">
        <v>10</v>
      </c>
      <c r="KP14" s="1119" t="s">
        <v>37</v>
      </c>
      <c r="KQ14" s="48" t="s">
        <v>10</v>
      </c>
      <c r="KR14" s="61" t="s">
        <v>33</v>
      </c>
      <c r="KS14" s="48" t="s">
        <v>10</v>
      </c>
      <c r="KT14" s="1119" t="s">
        <v>37</v>
      </c>
      <c r="KU14" s="128" t="s">
        <v>78</v>
      </c>
      <c r="KV14" s="157" t="s">
        <v>8</v>
      </c>
      <c r="KW14" s="155" t="s">
        <v>194</v>
      </c>
      <c r="KX14" s="23" t="s">
        <v>6</v>
      </c>
      <c r="KY14" s="48" t="s">
        <v>10</v>
      </c>
      <c r="KZ14" s="1119" t="s">
        <v>15</v>
      </c>
      <c r="LA14" s="1116" t="s">
        <v>10</v>
      </c>
      <c r="LB14" s="8" t="s">
        <v>15</v>
      </c>
      <c r="LC14" s="402" t="s">
        <v>10</v>
      </c>
      <c r="LD14" s="61" t="s">
        <v>33</v>
      </c>
      <c r="LE14" s="48" t="s">
        <v>10</v>
      </c>
      <c r="LF14" s="61" t="s">
        <v>33</v>
      </c>
      <c r="LG14" s="48" t="s">
        <v>10</v>
      </c>
      <c r="LH14" s="1119" t="s">
        <v>37</v>
      </c>
      <c r="LI14" s="48" t="s">
        <v>10</v>
      </c>
      <c r="LJ14" s="61" t="s">
        <v>33</v>
      </c>
      <c r="LK14" s="48" t="s">
        <v>10</v>
      </c>
      <c r="LL14" s="1119" t="s">
        <v>37</v>
      </c>
      <c r="LM14" s="151" t="s">
        <v>78</v>
      </c>
      <c r="LN14" s="128" t="s">
        <v>8</v>
      </c>
      <c r="LO14" s="157"/>
      <c r="LP14" s="23" t="s">
        <v>6</v>
      </c>
      <c r="LQ14" s="48" t="s">
        <v>10</v>
      </c>
      <c r="LR14" s="1119" t="s">
        <v>15</v>
      </c>
      <c r="LS14" s="1116" t="s">
        <v>10</v>
      </c>
      <c r="LT14" s="8" t="s">
        <v>15</v>
      </c>
      <c r="LU14" s="402" t="s">
        <v>10</v>
      </c>
      <c r="LV14" s="61" t="s">
        <v>33</v>
      </c>
      <c r="LW14" s="48" t="s">
        <v>10</v>
      </c>
      <c r="LX14" s="61" t="s">
        <v>33</v>
      </c>
      <c r="LY14" s="48" t="s">
        <v>10</v>
      </c>
      <c r="LZ14" s="1119" t="s">
        <v>37</v>
      </c>
      <c r="MA14" s="48" t="s">
        <v>10</v>
      </c>
      <c r="MB14" s="61" t="s">
        <v>33</v>
      </c>
      <c r="MC14" s="48" t="s">
        <v>10</v>
      </c>
      <c r="MD14" s="1119" t="s">
        <v>37</v>
      </c>
      <c r="ME14" s="151" t="s">
        <v>78</v>
      </c>
      <c r="MF14" s="128" t="s">
        <v>8</v>
      </c>
      <c r="MG14" s="129"/>
      <c r="MH14" s="23" t="s">
        <v>6</v>
      </c>
      <c r="MI14" s="48" t="s">
        <v>10</v>
      </c>
      <c r="MJ14" s="1119" t="s">
        <v>15</v>
      </c>
      <c r="MK14" s="1116" t="s">
        <v>10</v>
      </c>
      <c r="ML14" s="8" t="s">
        <v>15</v>
      </c>
      <c r="MM14" s="402" t="s">
        <v>10</v>
      </c>
      <c r="MN14" s="61" t="s">
        <v>33</v>
      </c>
      <c r="MO14" s="48" t="s">
        <v>10</v>
      </c>
      <c r="MP14" s="61" t="s">
        <v>33</v>
      </c>
      <c r="MQ14" s="48" t="s">
        <v>10</v>
      </c>
      <c r="MR14" s="1119" t="s">
        <v>37</v>
      </c>
      <c r="MS14" s="48" t="s">
        <v>10</v>
      </c>
      <c r="MT14" s="61" t="s">
        <v>33</v>
      </c>
      <c r="MU14" s="48" t="s">
        <v>10</v>
      </c>
      <c r="MV14" s="1119" t="s">
        <v>37</v>
      </c>
      <c r="MW14" s="128" t="s">
        <v>78</v>
      </c>
      <c r="MX14" s="157" t="s">
        <v>8</v>
      </c>
      <c r="MY14" s="155" t="s">
        <v>194</v>
      </c>
      <c r="MZ14" s="23" t="s">
        <v>6</v>
      </c>
      <c r="NA14" s="48" t="s">
        <v>10</v>
      </c>
      <c r="NB14" s="1119" t="s">
        <v>15</v>
      </c>
      <c r="NC14" s="1116" t="s">
        <v>10</v>
      </c>
      <c r="ND14" s="8" t="s">
        <v>15</v>
      </c>
      <c r="NE14" s="402" t="s">
        <v>10</v>
      </c>
      <c r="NF14" s="61" t="s">
        <v>33</v>
      </c>
      <c r="NG14" s="48" t="s">
        <v>10</v>
      </c>
      <c r="NH14" s="61" t="s">
        <v>33</v>
      </c>
      <c r="NI14" s="48" t="s">
        <v>10</v>
      </c>
      <c r="NJ14" s="1119" t="s">
        <v>37</v>
      </c>
      <c r="NK14" s="48" t="s">
        <v>10</v>
      </c>
      <c r="NL14" s="61" t="s">
        <v>33</v>
      </c>
      <c r="NM14" s="48" t="s">
        <v>10</v>
      </c>
      <c r="NN14" s="1119" t="s">
        <v>37</v>
      </c>
      <c r="NO14" s="128" t="s">
        <v>78</v>
      </c>
      <c r="NP14" s="157" t="s">
        <v>8</v>
      </c>
      <c r="NQ14" s="155" t="s">
        <v>194</v>
      </c>
      <c r="NR14" s="23" t="s">
        <v>6</v>
      </c>
      <c r="NS14" s="48" t="s">
        <v>10</v>
      </c>
      <c r="NT14" s="1119" t="s">
        <v>15</v>
      </c>
      <c r="NU14" s="1116" t="s">
        <v>10</v>
      </c>
      <c r="NV14" s="8" t="s">
        <v>15</v>
      </c>
      <c r="NW14" s="402" t="s">
        <v>10</v>
      </c>
      <c r="NX14" s="61" t="s">
        <v>33</v>
      </c>
      <c r="NY14" s="48" t="s">
        <v>10</v>
      </c>
      <c r="NZ14" s="61" t="s">
        <v>33</v>
      </c>
      <c r="OA14" s="48" t="s">
        <v>10</v>
      </c>
      <c r="OB14" s="1119" t="s">
        <v>37</v>
      </c>
      <c r="OC14" s="48" t="s">
        <v>10</v>
      </c>
      <c r="OD14" s="61" t="s">
        <v>33</v>
      </c>
      <c r="OE14" s="48" t="s">
        <v>10</v>
      </c>
      <c r="OF14" s="1119" t="s">
        <v>37</v>
      </c>
      <c r="OG14" s="128" t="s">
        <v>78</v>
      </c>
      <c r="OH14" s="157" t="s">
        <v>8</v>
      </c>
      <c r="OI14" s="155" t="s">
        <v>194</v>
      </c>
      <c r="OJ14" s="23" t="s">
        <v>6</v>
      </c>
      <c r="OK14" s="48" t="s">
        <v>10</v>
      </c>
      <c r="OL14" s="1119" t="s">
        <v>15</v>
      </c>
      <c r="OM14" s="1116" t="s">
        <v>10</v>
      </c>
      <c r="ON14" s="8" t="s">
        <v>15</v>
      </c>
      <c r="OO14" s="402" t="s">
        <v>10</v>
      </c>
      <c r="OP14" s="61" t="s">
        <v>33</v>
      </c>
      <c r="OQ14" s="48" t="s">
        <v>10</v>
      </c>
      <c r="OR14" s="61" t="s">
        <v>33</v>
      </c>
      <c r="OS14" s="48" t="s">
        <v>10</v>
      </c>
      <c r="OT14" s="1119" t="s">
        <v>37</v>
      </c>
      <c r="OU14" s="48" t="s">
        <v>10</v>
      </c>
      <c r="OV14" s="61" t="s">
        <v>33</v>
      </c>
      <c r="OW14" s="48" t="s">
        <v>10</v>
      </c>
      <c r="OX14" s="1119" t="s">
        <v>37</v>
      </c>
      <c r="OY14" s="128" t="s">
        <v>78</v>
      </c>
      <c r="OZ14" s="157" t="s">
        <v>8</v>
      </c>
      <c r="PA14" s="155" t="s">
        <v>194</v>
      </c>
      <c r="PB14" s="23" t="s">
        <v>6</v>
      </c>
      <c r="PC14" s="48" t="s">
        <v>10</v>
      </c>
      <c r="PD14" s="1119" t="s">
        <v>15</v>
      </c>
      <c r="PE14" s="1116" t="s">
        <v>10</v>
      </c>
      <c r="PF14" s="8" t="s">
        <v>15</v>
      </c>
      <c r="PG14" s="402" t="s">
        <v>10</v>
      </c>
      <c r="PH14" s="61" t="s">
        <v>33</v>
      </c>
      <c r="PI14" s="48" t="s">
        <v>10</v>
      </c>
      <c r="PJ14" s="61" t="s">
        <v>33</v>
      </c>
      <c r="PK14" s="48" t="s">
        <v>10</v>
      </c>
      <c r="PL14" s="1119" t="s">
        <v>37</v>
      </c>
      <c r="PM14" s="48" t="s">
        <v>10</v>
      </c>
      <c r="PN14" s="61" t="s">
        <v>33</v>
      </c>
      <c r="PO14" s="48" t="s">
        <v>10</v>
      </c>
      <c r="PP14" s="1119" t="s">
        <v>37</v>
      </c>
      <c r="PQ14" s="128" t="s">
        <v>78</v>
      </c>
      <c r="PR14" s="157" t="s">
        <v>8</v>
      </c>
      <c r="PS14" s="155" t="s">
        <v>194</v>
      </c>
      <c r="PT14" s="23" t="s">
        <v>6</v>
      </c>
      <c r="PU14" s="48" t="s">
        <v>10</v>
      </c>
      <c r="PV14" s="1119" t="s">
        <v>15</v>
      </c>
      <c r="PW14" s="1116" t="s">
        <v>10</v>
      </c>
      <c r="PX14" s="8" t="s">
        <v>15</v>
      </c>
      <c r="PY14" s="402" t="s">
        <v>10</v>
      </c>
      <c r="PZ14" s="61" t="s">
        <v>33</v>
      </c>
      <c r="QA14" s="48" t="s">
        <v>10</v>
      </c>
      <c r="QB14" s="61" t="s">
        <v>33</v>
      </c>
      <c r="QC14" s="48" t="s">
        <v>10</v>
      </c>
      <c r="QD14" s="1119" t="s">
        <v>37</v>
      </c>
      <c r="QE14" s="48" t="s">
        <v>10</v>
      </c>
      <c r="QF14" s="61" t="s">
        <v>33</v>
      </c>
      <c r="QG14" s="48" t="s">
        <v>10</v>
      </c>
      <c r="QH14" s="1119" t="s">
        <v>37</v>
      </c>
      <c r="QJ14" s="333" t="s">
        <v>78</v>
      </c>
      <c r="QK14" s="334" t="s">
        <v>8</v>
      </c>
      <c r="QL14" s="335" t="s">
        <v>194</v>
      </c>
      <c r="QM14" s="23" t="s">
        <v>6</v>
      </c>
      <c r="QN14" s="48" t="s">
        <v>10</v>
      </c>
      <c r="QO14" s="1119" t="s">
        <v>15</v>
      </c>
      <c r="QP14" s="1116" t="s">
        <v>10</v>
      </c>
      <c r="QQ14" s="8" t="s">
        <v>15</v>
      </c>
      <c r="QR14" s="402" t="s">
        <v>10</v>
      </c>
      <c r="QS14" s="61" t="s">
        <v>33</v>
      </c>
      <c r="QT14" s="48" t="s">
        <v>10</v>
      </c>
      <c r="QU14" s="61" t="s">
        <v>33</v>
      </c>
      <c r="QV14" s="48" t="s">
        <v>10</v>
      </c>
      <c r="QW14" s="1119" t="s">
        <v>37</v>
      </c>
      <c r="QX14" s="48" t="s">
        <v>10</v>
      </c>
      <c r="QY14" s="61" t="s">
        <v>33</v>
      </c>
      <c r="QZ14" s="48" t="s">
        <v>10</v>
      </c>
      <c r="RA14" s="1119" t="s">
        <v>37</v>
      </c>
      <c r="RB14" s="151" t="s">
        <v>78</v>
      </c>
      <c r="RC14" s="128" t="s">
        <v>8</v>
      </c>
      <c r="RD14" s="129"/>
      <c r="RE14" s="23" t="s">
        <v>6</v>
      </c>
      <c r="RF14" s="48" t="s">
        <v>10</v>
      </c>
      <c r="RG14" s="1119" t="s">
        <v>15</v>
      </c>
      <c r="RH14" s="1116" t="s">
        <v>10</v>
      </c>
      <c r="RI14" s="8" t="s">
        <v>15</v>
      </c>
      <c r="RJ14" s="402" t="s">
        <v>10</v>
      </c>
      <c r="RK14" s="61" t="s">
        <v>33</v>
      </c>
      <c r="RL14" s="48" t="s">
        <v>10</v>
      </c>
      <c r="RM14" s="61" t="s">
        <v>33</v>
      </c>
      <c r="RN14" s="48" t="s">
        <v>10</v>
      </c>
      <c r="RO14" s="1119" t="s">
        <v>37</v>
      </c>
      <c r="RP14" s="48" t="s">
        <v>10</v>
      </c>
      <c r="RQ14" s="61" t="s">
        <v>33</v>
      </c>
      <c r="RR14" s="48" t="s">
        <v>10</v>
      </c>
      <c r="RS14" s="1119" t="s">
        <v>37</v>
      </c>
      <c r="RT14" s="333" t="s">
        <v>78</v>
      </c>
      <c r="RU14" s="334" t="s">
        <v>8</v>
      </c>
      <c r="RV14" s="335" t="s">
        <v>194</v>
      </c>
      <c r="RW14" s="23" t="s">
        <v>6</v>
      </c>
      <c r="RX14" s="48" t="s">
        <v>10</v>
      </c>
      <c r="RY14" s="1119" t="s">
        <v>15</v>
      </c>
      <c r="RZ14" s="1116" t="s">
        <v>10</v>
      </c>
      <c r="SA14" s="8" t="s">
        <v>15</v>
      </c>
      <c r="SB14" s="402" t="s">
        <v>10</v>
      </c>
      <c r="SC14" s="61" t="s">
        <v>33</v>
      </c>
      <c r="SD14" s="48" t="s">
        <v>10</v>
      </c>
      <c r="SE14" s="61" t="s">
        <v>33</v>
      </c>
      <c r="SF14" s="48" t="s">
        <v>10</v>
      </c>
      <c r="SG14" s="1119" t="s">
        <v>37</v>
      </c>
      <c r="SH14" s="48" t="s">
        <v>10</v>
      </c>
      <c r="SI14" s="61" t="s">
        <v>33</v>
      </c>
      <c r="SJ14" s="48" t="s">
        <v>10</v>
      </c>
      <c r="SK14" s="1119" t="s">
        <v>37</v>
      </c>
      <c r="SL14" s="333" t="s">
        <v>78</v>
      </c>
      <c r="SM14" s="334" t="s">
        <v>8</v>
      </c>
      <c r="SN14" s="335" t="s">
        <v>194</v>
      </c>
      <c r="SO14" s="23" t="s">
        <v>6</v>
      </c>
      <c r="SP14" s="48" t="s">
        <v>10</v>
      </c>
      <c r="SQ14" s="1119" t="s">
        <v>15</v>
      </c>
      <c r="SR14" s="1116" t="s">
        <v>10</v>
      </c>
      <c r="SS14" s="8" t="s">
        <v>15</v>
      </c>
      <c r="ST14" s="402" t="s">
        <v>10</v>
      </c>
      <c r="SU14" s="61" t="s">
        <v>33</v>
      </c>
      <c r="SV14" s="48" t="s">
        <v>10</v>
      </c>
      <c r="SW14" s="61" t="s">
        <v>33</v>
      </c>
      <c r="SX14" s="48" t="s">
        <v>10</v>
      </c>
      <c r="SY14" s="1119" t="s">
        <v>37</v>
      </c>
      <c r="SZ14" s="48" t="s">
        <v>10</v>
      </c>
      <c r="TA14" s="61" t="s">
        <v>33</v>
      </c>
      <c r="TB14" s="48" t="s">
        <v>10</v>
      </c>
      <c r="TC14" s="1119" t="s">
        <v>37</v>
      </c>
      <c r="TE14" s="333" t="s">
        <v>78</v>
      </c>
      <c r="TF14" s="334" t="s">
        <v>8</v>
      </c>
      <c r="TG14" s="335" t="s">
        <v>194</v>
      </c>
      <c r="TH14" s="23" t="s">
        <v>6</v>
      </c>
      <c r="TI14" s="48" t="s">
        <v>10</v>
      </c>
      <c r="TJ14" s="1119" t="s">
        <v>15</v>
      </c>
      <c r="TK14" s="1116" t="s">
        <v>10</v>
      </c>
      <c r="TL14" s="8" t="s">
        <v>15</v>
      </c>
      <c r="TM14" s="402" t="s">
        <v>10</v>
      </c>
      <c r="TN14" s="61" t="s">
        <v>33</v>
      </c>
      <c r="TO14" s="48" t="s">
        <v>10</v>
      </c>
      <c r="TP14" s="61" t="s">
        <v>33</v>
      </c>
      <c r="TQ14" s="48" t="s">
        <v>10</v>
      </c>
      <c r="TR14" s="1119" t="s">
        <v>37</v>
      </c>
      <c r="TS14" s="48" t="s">
        <v>10</v>
      </c>
      <c r="TT14" s="61" t="s">
        <v>33</v>
      </c>
      <c r="TU14" s="48" t="s">
        <v>10</v>
      </c>
      <c r="TV14" s="1119" t="s">
        <v>37</v>
      </c>
      <c r="TW14"/>
      <c r="TX14" s="333" t="s">
        <v>78</v>
      </c>
      <c r="TY14" s="334" t="s">
        <v>8</v>
      </c>
      <c r="TZ14" s="335" t="s">
        <v>194</v>
      </c>
      <c r="UA14" s="23" t="s">
        <v>6</v>
      </c>
      <c r="UB14" s="48" t="s">
        <v>10</v>
      </c>
      <c r="UC14" s="1119" t="s">
        <v>15</v>
      </c>
      <c r="UD14" s="1116" t="s">
        <v>10</v>
      </c>
      <c r="UE14" s="8" t="s">
        <v>15</v>
      </c>
      <c r="UF14" s="402" t="s">
        <v>10</v>
      </c>
      <c r="UG14" s="61" t="s">
        <v>33</v>
      </c>
      <c r="UH14" s="48" t="s">
        <v>10</v>
      </c>
      <c r="UI14" s="61" t="s">
        <v>33</v>
      </c>
      <c r="UJ14" s="48" t="s">
        <v>10</v>
      </c>
      <c r="UK14" s="1119" t="s">
        <v>37</v>
      </c>
      <c r="UL14" s="48" t="s">
        <v>10</v>
      </c>
      <c r="UM14" s="61" t="s">
        <v>33</v>
      </c>
      <c r="UN14" s="48" t="s">
        <v>10</v>
      </c>
      <c r="UO14" s="1119" t="s">
        <v>37</v>
      </c>
      <c r="UQ14" s="333" t="s">
        <v>78</v>
      </c>
      <c r="UR14" s="334" t="s">
        <v>8</v>
      </c>
      <c r="US14" s="335" t="s">
        <v>194</v>
      </c>
      <c r="UT14" s="23" t="s">
        <v>6</v>
      </c>
      <c r="UU14" s="48" t="s">
        <v>10</v>
      </c>
      <c r="UV14" s="1119" t="s">
        <v>15</v>
      </c>
      <c r="UW14" s="1116" t="s">
        <v>10</v>
      </c>
      <c r="UX14" s="8" t="s">
        <v>15</v>
      </c>
      <c r="UY14" s="402" t="s">
        <v>10</v>
      </c>
      <c r="UZ14" s="61" t="s">
        <v>33</v>
      </c>
      <c r="VA14" s="48" t="s">
        <v>10</v>
      </c>
      <c r="VB14" s="61" t="s">
        <v>33</v>
      </c>
      <c r="VC14" s="48" t="s">
        <v>10</v>
      </c>
      <c r="VD14" s="1119" t="s">
        <v>37</v>
      </c>
      <c r="VE14" s="48" t="s">
        <v>10</v>
      </c>
      <c r="VF14" s="61" t="s">
        <v>33</v>
      </c>
      <c r="VG14" s="48" t="s">
        <v>10</v>
      </c>
      <c r="VH14" s="1119" t="s">
        <v>37</v>
      </c>
      <c r="VJ14" s="128" t="s">
        <v>78</v>
      </c>
      <c r="VK14" s="157" t="s">
        <v>8</v>
      </c>
      <c r="VL14" s="155" t="s">
        <v>194</v>
      </c>
      <c r="VM14" s="23" t="s">
        <v>6</v>
      </c>
      <c r="VN14" s="48" t="s">
        <v>10</v>
      </c>
      <c r="VO14" s="1119" t="s">
        <v>15</v>
      </c>
      <c r="VP14" s="1116" t="s">
        <v>10</v>
      </c>
      <c r="VQ14" s="8" t="s">
        <v>15</v>
      </c>
      <c r="VR14" s="402" t="s">
        <v>10</v>
      </c>
      <c r="VS14" s="61" t="s">
        <v>33</v>
      </c>
      <c r="VT14" s="48" t="s">
        <v>10</v>
      </c>
      <c r="VU14" s="61" t="s">
        <v>33</v>
      </c>
      <c r="VV14" s="48" t="s">
        <v>10</v>
      </c>
      <c r="VW14" s="1119" t="s">
        <v>37</v>
      </c>
      <c r="VY14" s="333" t="s">
        <v>78</v>
      </c>
      <c r="VZ14" s="334" t="s">
        <v>8</v>
      </c>
      <c r="WA14" s="335" t="s">
        <v>194</v>
      </c>
      <c r="WB14" s="23" t="s">
        <v>6</v>
      </c>
      <c r="WC14" s="48" t="s">
        <v>10</v>
      </c>
      <c r="WD14" s="1119" t="s">
        <v>15</v>
      </c>
      <c r="WE14" s="1116" t="s">
        <v>10</v>
      </c>
      <c r="WF14" s="8" t="s">
        <v>15</v>
      </c>
      <c r="WG14" s="402" t="s">
        <v>10</v>
      </c>
      <c r="WH14" s="61" t="s">
        <v>33</v>
      </c>
      <c r="WI14" s="48" t="s">
        <v>10</v>
      </c>
      <c r="WJ14" s="61" t="s">
        <v>33</v>
      </c>
      <c r="WK14" s="48" t="s">
        <v>10</v>
      </c>
      <c r="WL14" s="1119" t="s">
        <v>37</v>
      </c>
    </row>
    <row r="15" spans="1:610" x14ac:dyDescent="0.35">
      <c r="A15" s="111">
        <f>ROW()</f>
        <v>15</v>
      </c>
      <c r="B15" s="586" t="s">
        <v>48</v>
      </c>
      <c r="AK15" s="111">
        <f>ROW()</f>
        <v>15</v>
      </c>
      <c r="AN15" s="656" t="s">
        <v>1015</v>
      </c>
      <c r="AO15" s="658"/>
      <c r="AP15" s="657"/>
      <c r="AQ15" s="656" t="s">
        <v>1014</v>
      </c>
      <c r="AR15" s="655"/>
      <c r="BU15" s="158"/>
      <c r="BV15" s="159"/>
      <c r="CM15" s="110"/>
      <c r="CN15" s="110"/>
      <c r="CO15" s="110"/>
      <c r="CP15" s="1"/>
      <c r="CQ15" s="1"/>
      <c r="CR15" s="1"/>
      <c r="CS15" s="1"/>
      <c r="CT15" s="1"/>
      <c r="CW15" s="1"/>
      <c r="CX15" s="1"/>
      <c r="CY15" s="1"/>
      <c r="CZ15" s="1"/>
      <c r="DA15" s="1"/>
      <c r="DB15" s="1"/>
      <c r="DC15" s="1"/>
      <c r="DD15" s="1"/>
      <c r="DE15" s="110"/>
      <c r="DF15" s="110"/>
      <c r="DG15" s="110"/>
      <c r="DH15" s="110"/>
      <c r="DI15" s="110"/>
      <c r="DJ15" s="110"/>
      <c r="DK15" s="110"/>
      <c r="DL15" s="110"/>
      <c r="DW15" s="1"/>
      <c r="DX15" s="1"/>
      <c r="DY15" s="1"/>
      <c r="DZ15" s="1"/>
      <c r="EA15" s="1"/>
      <c r="EB15" s="1"/>
      <c r="EC15" s="1"/>
      <c r="ED15" s="1"/>
      <c r="EO15" s="1"/>
      <c r="EP15" s="1"/>
      <c r="EQ15" s="1"/>
      <c r="ER15" s="1"/>
      <c r="ES15" s="1"/>
      <c r="ET15" s="1"/>
      <c r="EU15" s="1"/>
      <c r="EV15" s="1"/>
      <c r="FG15" s="110"/>
      <c r="FH15" s="3"/>
      <c r="FI15" s="3"/>
      <c r="FJ15" s="1"/>
      <c r="FK15" s="1"/>
      <c r="FL15" s="1"/>
      <c r="FM15" s="1"/>
      <c r="FN15" s="1"/>
      <c r="FY15" s="110"/>
      <c r="FZ15" s="110"/>
      <c r="GA15" s="110"/>
      <c r="GQ15" s="112"/>
      <c r="GR15" s="112"/>
      <c r="GS15" s="112"/>
      <c r="GT15" s="160"/>
      <c r="GU15" s="160"/>
      <c r="GV15" s="160"/>
      <c r="GW15" s="160"/>
      <c r="GX15" s="160"/>
      <c r="LN15" s="161" t="s">
        <v>126</v>
      </c>
      <c r="MW15" s="1"/>
      <c r="MX15" s="1"/>
      <c r="MY15" s="1"/>
      <c r="MZ15" s="1"/>
      <c r="NA15" s="1"/>
      <c r="NB15" s="1"/>
      <c r="NC15" s="1"/>
      <c r="ND15" s="1"/>
      <c r="NE15" s="1"/>
      <c r="NF15" s="1"/>
      <c r="NG15" s="1"/>
      <c r="NH15" s="1"/>
      <c r="NI15" s="1"/>
      <c r="NJ15" s="1"/>
      <c r="NK15" s="1"/>
      <c r="NL15" s="1"/>
      <c r="NM15" s="1"/>
      <c r="NN15" s="1"/>
      <c r="NO15" s="111">
        <f>ROW()</f>
        <v>15</v>
      </c>
      <c r="NP15" s="272" t="s">
        <v>829</v>
      </c>
      <c r="NR15" s="175"/>
      <c r="NS15" s="175"/>
      <c r="NT15" s="175"/>
      <c r="NU15" s="175"/>
      <c r="NV15" s="175"/>
      <c r="NW15" s="175"/>
      <c r="NX15" s="175"/>
      <c r="NY15" s="175"/>
      <c r="NZ15" s="175"/>
      <c r="OA15" s="175"/>
      <c r="OB15" s="175"/>
      <c r="OC15" s="175"/>
      <c r="OD15" s="175"/>
      <c r="OE15" s="175"/>
      <c r="OF15" s="175"/>
      <c r="OJ15" s="1070" t="s">
        <v>894</v>
      </c>
      <c r="QJ15" s="336"/>
      <c r="QK15" s="329"/>
      <c r="QL15" s="329"/>
      <c r="QM15" s="329"/>
      <c r="QN15" s="329"/>
      <c r="QO15" s="344"/>
      <c r="QP15" s="344"/>
      <c r="QQ15" s="344"/>
      <c r="QR15" s="341"/>
      <c r="QS15" s="341"/>
      <c r="QT15" s="341"/>
      <c r="QU15" s="341"/>
      <c r="QV15" s="341"/>
      <c r="QW15" s="341"/>
      <c r="QX15" s="341"/>
      <c r="QY15" s="341"/>
      <c r="QZ15" s="341"/>
      <c r="RA15" s="341"/>
      <c r="RT15" s="345">
        <f>ROW()</f>
        <v>15</v>
      </c>
      <c r="RU15" s="332"/>
      <c r="RV15" s="345"/>
      <c r="RW15" s="345"/>
      <c r="RX15" s="345"/>
      <c r="RY15" s="345"/>
      <c r="RZ15" s="345"/>
      <c r="SA15" s="345"/>
      <c r="SB15" s="241"/>
      <c r="SC15" s="241"/>
      <c r="SD15" s="241"/>
      <c r="SE15" s="241"/>
      <c r="SF15" s="241"/>
      <c r="SG15" s="241"/>
      <c r="SH15" s="241"/>
      <c r="SI15" s="241"/>
      <c r="SJ15" s="241"/>
      <c r="SK15" s="241"/>
      <c r="SL15" s="336">
        <f>ROW()</f>
        <v>15</v>
      </c>
      <c r="SM15" s="411" t="s">
        <v>1872</v>
      </c>
      <c r="SN15" s="329"/>
      <c r="SO15" s="329"/>
      <c r="SP15" s="329"/>
      <c r="SQ15" s="329"/>
      <c r="SR15" s="329"/>
      <c r="SS15" s="329"/>
      <c r="ST15" s="329"/>
      <c r="SU15" s="329"/>
      <c r="SV15" s="329"/>
      <c r="SW15" s="329"/>
      <c r="SX15" s="329"/>
      <c r="SY15" s="329"/>
      <c r="SZ15" s="329"/>
      <c r="TA15" s="329"/>
      <c r="TE15" s="336">
        <f>ROW()</f>
        <v>15</v>
      </c>
      <c r="TF15" s="329"/>
      <c r="TG15" s="329"/>
      <c r="TH15" s="329"/>
      <c r="TI15" s="329"/>
      <c r="TJ15" s="329"/>
      <c r="TK15" s="329"/>
      <c r="TL15" s="329"/>
      <c r="TM15" s="329"/>
      <c r="TN15" s="329"/>
      <c r="TO15" s="329"/>
      <c r="TP15" s="329"/>
      <c r="TQ15" s="329"/>
      <c r="TR15" s="329"/>
      <c r="TS15" s="329"/>
      <c r="TT15" s="329"/>
      <c r="TU15" s="329"/>
      <c r="TV15" s="329"/>
      <c r="TW15"/>
      <c r="TX15" s="336">
        <f>ROW()</f>
        <v>15</v>
      </c>
      <c r="UQ15" s="345">
        <f>ROW()</f>
        <v>15</v>
      </c>
      <c r="VJ15" s="345">
        <f>ROW()</f>
        <v>15</v>
      </c>
      <c r="VY15" s="345">
        <f>ROW()</f>
        <v>15</v>
      </c>
    </row>
    <row r="16" spans="1:610" x14ac:dyDescent="0.35">
      <c r="A16" s="111">
        <f>ROW()</f>
        <v>16</v>
      </c>
      <c r="B16" s="249"/>
      <c r="D16" s="1189"/>
      <c r="E16" s="245"/>
      <c r="F16" s="1189"/>
      <c r="G16" s="245"/>
      <c r="H16" s="1189"/>
      <c r="I16" s="1190"/>
      <c r="J16" s="1190"/>
      <c r="K16" s="1190"/>
      <c r="L16" s="1190"/>
      <c r="M16" s="1190"/>
      <c r="N16" s="165"/>
      <c r="O16" s="165"/>
      <c r="P16" s="165"/>
      <c r="Q16" s="165"/>
      <c r="R16" s="165"/>
      <c r="S16" s="111">
        <f>ROW()</f>
        <v>16</v>
      </c>
      <c r="T16" s="237" t="s">
        <v>347</v>
      </c>
      <c r="U16" s="654"/>
      <c r="V16" s="654"/>
      <c r="AA16" s="165"/>
      <c r="AB16" s="165"/>
      <c r="AC16" s="165"/>
      <c r="AD16" s="165"/>
      <c r="AE16" s="165"/>
      <c r="AF16" s="165"/>
      <c r="AG16" s="165"/>
      <c r="AH16" s="165"/>
      <c r="AI16" s="165"/>
      <c r="AJ16" s="165"/>
      <c r="AK16" s="111">
        <f>ROW()</f>
        <v>16</v>
      </c>
      <c r="AL16" s="633" t="s">
        <v>1013</v>
      </c>
      <c r="AM16" s="111"/>
      <c r="AN16" s="164">
        <v>245288096.45868722</v>
      </c>
      <c r="AO16" s="164">
        <f>AP16-AN16</f>
        <v>-2920640.8722486794</v>
      </c>
      <c r="AP16" s="164">
        <v>242367455.58643854</v>
      </c>
      <c r="AQ16" s="1071">
        <v>-54372013.907062724</v>
      </c>
      <c r="AR16" s="164">
        <f>AQ16+AP16</f>
        <v>187995441.67937583</v>
      </c>
      <c r="AS16" s="164"/>
      <c r="AT16" s="164"/>
      <c r="AU16" s="164"/>
      <c r="AV16" s="164"/>
      <c r="AW16" s="164"/>
      <c r="AX16" s="164"/>
      <c r="AY16" s="164"/>
      <c r="AZ16" s="164"/>
      <c r="BA16" s="164"/>
      <c r="BB16" s="164"/>
      <c r="BC16" s="111">
        <f>ROW()</f>
        <v>16</v>
      </c>
      <c r="BD16" s="112" t="s">
        <v>195</v>
      </c>
      <c r="BF16" s="178">
        <v>45229648.609999999</v>
      </c>
      <c r="BG16" s="178">
        <v>1966089.9118269086</v>
      </c>
      <c r="BH16" s="178">
        <f>SUM(BF16:BG16)</f>
        <v>47195738.521826908</v>
      </c>
      <c r="BI16" s="178">
        <v>0</v>
      </c>
      <c r="BJ16" s="178">
        <f>SUM(BH16:BI16)</f>
        <v>47195738.521826908</v>
      </c>
      <c r="BK16" s="178">
        <v>0</v>
      </c>
      <c r="BL16" s="178">
        <f>SUM(BJ16:BK16)</f>
        <v>47195738.521826908</v>
      </c>
      <c r="BM16" s="178">
        <v>0</v>
      </c>
      <c r="BN16" s="178">
        <f>SUM(BL16:BM16)</f>
        <v>47195738.521826908</v>
      </c>
      <c r="BO16" s="178">
        <v>0</v>
      </c>
      <c r="BP16" s="178">
        <f>SUM(BN16:BO16)</f>
        <v>47195738.521826908</v>
      </c>
      <c r="BQ16" s="178"/>
      <c r="BR16" s="178"/>
      <c r="BS16" s="178"/>
      <c r="BT16" s="178"/>
      <c r="BU16" s="111">
        <f>ROW()</f>
        <v>16</v>
      </c>
      <c r="BV16" s="159" t="s">
        <v>124</v>
      </c>
      <c r="BX16" s="165">
        <v>0</v>
      </c>
      <c r="BY16" s="653">
        <f>'Summary DPK-7 '!E58</f>
        <v>2910473035.7707138</v>
      </c>
      <c r="BZ16" s="653">
        <f>SUM(BX16:BY16)</f>
        <v>2910473035.7707138</v>
      </c>
      <c r="CA16" s="653">
        <f>'Summary DPK-7 '!F58</f>
        <v>-108023658.60120685</v>
      </c>
      <c r="CB16" s="653">
        <f>SUM(BZ16:CA16)</f>
        <v>2802449377.169507</v>
      </c>
      <c r="CC16" s="653">
        <f>'Summary DPK-7 '!H58</f>
        <v>98340847.552093089</v>
      </c>
      <c r="CD16" s="653">
        <f>SUM(CB16:CC16)</f>
        <v>2900790224.7216001</v>
      </c>
      <c r="CE16" s="653">
        <f>'Summary DPK-7 '!J58</f>
        <v>-34286231.771925993</v>
      </c>
      <c r="CF16" s="653">
        <f>SUM(CD16:CE16)</f>
        <v>2866503992.9496741</v>
      </c>
      <c r="CG16" s="653">
        <f>'Summary DPK-7 '!L58</f>
        <v>-3375696.7478605136</v>
      </c>
      <c r="CH16" s="653">
        <f>SUM(CF16:CG16)</f>
        <v>2863128296.2018137</v>
      </c>
      <c r="CI16" s="653"/>
      <c r="CJ16" s="653"/>
      <c r="CK16" s="653"/>
      <c r="CL16" s="653"/>
      <c r="CM16" s="111">
        <f>ROW()</f>
        <v>16</v>
      </c>
      <c r="CN16" s="111"/>
      <c r="CO16" s="111"/>
      <c r="CP16" s="166"/>
      <c r="CQ16" s="114"/>
      <c r="CR16" s="114"/>
      <c r="CS16" s="114"/>
      <c r="CT16" s="114"/>
      <c r="CW16" s="114"/>
      <c r="CX16" s="114"/>
      <c r="CY16" s="114"/>
      <c r="CZ16" s="114"/>
      <c r="DA16" s="114"/>
      <c r="DB16" s="114"/>
      <c r="DC16" s="114"/>
      <c r="DD16" s="114"/>
      <c r="DE16" s="111">
        <f>ROW()</f>
        <v>16</v>
      </c>
      <c r="DF16" s="149" t="s">
        <v>201</v>
      </c>
      <c r="DG16" s="149"/>
      <c r="DH16" s="166"/>
      <c r="DI16" s="114"/>
      <c r="DJ16" s="114"/>
      <c r="DK16" s="114"/>
      <c r="DL16" s="114"/>
      <c r="DW16" s="111">
        <f>ROW()</f>
        <v>16</v>
      </c>
      <c r="DX16" s="167" t="s">
        <v>198</v>
      </c>
      <c r="DY16" s="167"/>
      <c r="DZ16" s="168">
        <v>51494328.660999998</v>
      </c>
      <c r="EA16" s="168">
        <v>858.74887999892235</v>
      </c>
      <c r="EB16" s="168">
        <f>DZ16+EA16</f>
        <v>51495187.409879997</v>
      </c>
      <c r="EC16" s="168"/>
      <c r="ED16" s="168">
        <f>EB16+EC16</f>
        <v>51495187.409879997</v>
      </c>
      <c r="EE16" s="168">
        <v>0</v>
      </c>
      <c r="EF16" s="168">
        <f>ED16+EE16</f>
        <v>51495187.409879997</v>
      </c>
      <c r="EG16" s="168">
        <v>0</v>
      </c>
      <c r="EH16" s="168">
        <f>EF16+EG16</f>
        <v>51495187.409879997</v>
      </c>
      <c r="EI16" s="168">
        <v>0</v>
      </c>
      <c r="EJ16" s="168">
        <f>EH16+EI16</f>
        <v>51495187.409879997</v>
      </c>
      <c r="EK16" s="168"/>
      <c r="EL16" s="168"/>
      <c r="EM16" s="168"/>
      <c r="EN16" s="168"/>
      <c r="EO16" s="111">
        <f>ROW()</f>
        <v>16</v>
      </c>
      <c r="EP16" s="240" t="s">
        <v>206</v>
      </c>
      <c r="EQ16" s="171"/>
      <c r="ER16" s="171"/>
      <c r="ES16" s="171"/>
      <c r="ET16" s="1"/>
      <c r="EU16" s="1"/>
      <c r="EV16" s="1"/>
      <c r="FG16" s="111">
        <f>ROW()</f>
        <v>16</v>
      </c>
      <c r="FH16" s="1" t="s">
        <v>196</v>
      </c>
      <c r="FI16" s="114"/>
      <c r="FJ16" s="114">
        <v>-5000</v>
      </c>
      <c r="FK16" s="114">
        <v>-16666.666666666668</v>
      </c>
      <c r="FL16" s="114">
        <f>FJ16+FK16</f>
        <v>-21666.666666666668</v>
      </c>
      <c r="FM16" s="114"/>
      <c r="FN16" s="114">
        <f>FL16+FM16</f>
        <v>-21666.666666666668</v>
      </c>
      <c r="FO16" s="114"/>
      <c r="FP16" s="114">
        <f>FN16+FO16</f>
        <v>-21666.666666666668</v>
      </c>
      <c r="FQ16" s="114"/>
      <c r="FR16" s="114">
        <f>FP16+FQ16</f>
        <v>-21666.666666666668</v>
      </c>
      <c r="FS16" s="114"/>
      <c r="FT16" s="114">
        <f>FR16+FS16</f>
        <v>-21666.666666666668</v>
      </c>
      <c r="FU16" s="114"/>
      <c r="FV16" s="114"/>
      <c r="FW16" s="114"/>
      <c r="FX16" s="114"/>
      <c r="FY16" s="111">
        <f>ROW()</f>
        <v>16</v>
      </c>
      <c r="FZ16" s="1" t="s">
        <v>197</v>
      </c>
      <c r="GQ16" s="111">
        <f>ROW()</f>
        <v>16</v>
      </c>
      <c r="GR16" s="149" t="s">
        <v>205</v>
      </c>
      <c r="GT16" s="114"/>
      <c r="GU16" s="114"/>
      <c r="GV16" s="170"/>
      <c r="GW16" s="114"/>
      <c r="GX16" s="114"/>
      <c r="HI16" s="111">
        <f>ROW()</f>
        <v>16</v>
      </c>
      <c r="HJ16" s="1" t="s">
        <v>200</v>
      </c>
      <c r="HL16" s="114">
        <v>0</v>
      </c>
      <c r="HM16" s="114">
        <v>30503.742766919091</v>
      </c>
      <c r="HN16" s="114">
        <f>SUM(HL16:HM16)</f>
        <v>30503.742766919091</v>
      </c>
      <c r="HO16" s="114"/>
      <c r="HP16" s="114">
        <f>SUM(HN16:HO16)</f>
        <v>30503.742766919091</v>
      </c>
      <c r="HQ16" s="114"/>
      <c r="HR16" s="114">
        <f>SUM(HP16:HQ16)</f>
        <v>30503.742766919091</v>
      </c>
      <c r="HS16" s="114"/>
      <c r="HT16" s="114">
        <f>SUM(HR16:HS16)</f>
        <v>30503.742766919091</v>
      </c>
      <c r="HU16" s="114"/>
      <c r="HV16" s="114">
        <f>SUM(HT16:HU16)</f>
        <v>30503.742766919091</v>
      </c>
      <c r="HW16" s="114"/>
      <c r="HX16" s="114"/>
      <c r="HY16" s="114"/>
      <c r="HZ16" s="114"/>
      <c r="IA16" s="111">
        <f>ROW()</f>
        <v>16</v>
      </c>
      <c r="IB16" s="1" t="s">
        <v>203</v>
      </c>
      <c r="IC16" s="168"/>
      <c r="ID16" s="175">
        <v>353500.83126999997</v>
      </c>
      <c r="IE16" s="175">
        <v>170575.62719000003</v>
      </c>
      <c r="IF16" s="175">
        <f>SUM(ID16:IE16)</f>
        <v>524076.45845999999</v>
      </c>
      <c r="IG16" s="175">
        <v>0</v>
      </c>
      <c r="IH16" s="175">
        <f>SUM(IF16:IG16)</f>
        <v>524076.45845999999</v>
      </c>
      <c r="II16" s="175"/>
      <c r="IJ16" s="175">
        <f>SUM(IH16:II16)</f>
        <v>524076.45845999999</v>
      </c>
      <c r="IK16" s="175"/>
      <c r="IL16" s="175">
        <f>SUM(IJ16:IK16)</f>
        <v>524076.45845999999</v>
      </c>
      <c r="IM16" s="175"/>
      <c r="IN16" s="175">
        <f>SUM(IL16:IM16)</f>
        <v>524076.45845999999</v>
      </c>
      <c r="IO16" s="175"/>
      <c r="IP16" s="175"/>
      <c r="IQ16" s="175"/>
      <c r="IR16" s="175"/>
      <c r="IS16" s="111">
        <f>ROW()</f>
        <v>16</v>
      </c>
      <c r="IT16" s="1" t="s">
        <v>208</v>
      </c>
      <c r="IV16" s="114"/>
      <c r="IW16" s="114"/>
      <c r="IX16" s="114"/>
      <c r="IY16" s="114"/>
      <c r="IZ16" s="114"/>
      <c r="JK16" s="111">
        <f>ROW()</f>
        <v>16</v>
      </c>
      <c r="JL16" s="112" t="s">
        <v>199</v>
      </c>
      <c r="JM16" s="112"/>
      <c r="JN16" s="169">
        <v>100836.95771756492</v>
      </c>
      <c r="JO16" s="169">
        <v>-16580.372792206952</v>
      </c>
      <c r="JP16" s="169">
        <f>SUM(JN16:JO16)</f>
        <v>84256.584925357965</v>
      </c>
      <c r="JQ16" s="169"/>
      <c r="JR16" s="169">
        <f>SUM(JP16:JQ16)</f>
        <v>84256.584925357965</v>
      </c>
      <c r="JS16" s="169"/>
      <c r="JT16" s="169">
        <f>SUM(JR16:JS16)</f>
        <v>84256.584925357965</v>
      </c>
      <c r="JU16" s="169"/>
      <c r="JV16" s="169">
        <f>SUM(JT16:JU16)</f>
        <v>84256.584925357965</v>
      </c>
      <c r="JW16" s="169"/>
      <c r="JX16" s="169">
        <f>SUM(JV16:JW16)</f>
        <v>84256.584925357965</v>
      </c>
      <c r="JY16" s="169"/>
      <c r="JZ16" s="169"/>
      <c r="KA16" s="169"/>
      <c r="KB16" s="169"/>
      <c r="KC16" s="111">
        <f>ROW()</f>
        <v>16</v>
      </c>
      <c r="KD16" s="1" t="s">
        <v>202</v>
      </c>
      <c r="KF16" s="114">
        <v>896431.4272056577</v>
      </c>
      <c r="KG16" s="114">
        <v>1414165.1287299758</v>
      </c>
      <c r="KH16" s="114">
        <f>KF16+KG16</f>
        <v>2310596.5559356334</v>
      </c>
      <c r="KI16" s="114"/>
      <c r="KJ16" s="114">
        <f>KH16+KI16</f>
        <v>2310596.5559356334</v>
      </c>
      <c r="KK16" s="114"/>
      <c r="KL16" s="114">
        <f>KJ16+KK16</f>
        <v>2310596.5559356334</v>
      </c>
      <c r="KM16" s="114"/>
      <c r="KN16" s="114">
        <f>KL16+KM16</f>
        <v>2310596.5559356334</v>
      </c>
      <c r="KO16" s="114"/>
      <c r="KP16" s="114">
        <f>KN16+KO16</f>
        <v>2310596.5559356334</v>
      </c>
      <c r="KQ16" s="114"/>
      <c r="KR16" s="114"/>
      <c r="KS16" s="114"/>
      <c r="KT16" s="114"/>
      <c r="KU16" s="111">
        <f>ROW()</f>
        <v>16</v>
      </c>
      <c r="KV16" s="652" t="s">
        <v>204</v>
      </c>
      <c r="KW16" s="232"/>
      <c r="KX16" s="114"/>
      <c r="KY16" s="114"/>
      <c r="KZ16" s="170"/>
      <c r="LA16" s="114"/>
      <c r="LB16" s="114"/>
      <c r="LC16" s="114"/>
      <c r="LD16" s="114"/>
      <c r="LE16" s="114"/>
      <c r="LF16" s="114"/>
      <c r="LG16" s="114"/>
      <c r="LH16" s="114"/>
      <c r="LI16" s="114"/>
      <c r="LJ16" s="114"/>
      <c r="LK16" s="114"/>
      <c r="LL16" s="114"/>
      <c r="LM16" s="111">
        <f>ROW()</f>
        <v>16</v>
      </c>
      <c r="LN16" s="117" t="s">
        <v>20</v>
      </c>
      <c r="LP16" s="170">
        <v>5489997433.7842302</v>
      </c>
      <c r="LQ16" s="170">
        <v>89690639.215544701</v>
      </c>
      <c r="LR16" s="170">
        <f t="shared" ref="LR16:LR21" si="0">SUM(LP16:LQ16)</f>
        <v>5579688072.9997749</v>
      </c>
      <c r="LS16" s="170"/>
      <c r="LT16" s="170">
        <f t="shared" ref="LT16:LT21" si="1">SUM(LR16:LS16)</f>
        <v>5579688072.9997749</v>
      </c>
      <c r="LU16" s="170"/>
      <c r="LV16" s="170">
        <f t="shared" ref="LV16:LV21" si="2">SUM(LT16:LU16)</f>
        <v>5579688072.9997749</v>
      </c>
      <c r="LW16" s="170"/>
      <c r="LX16" s="170">
        <f t="shared" ref="LX16:LX21" si="3">SUM(LV16:LW16)</f>
        <v>5579688072.9997749</v>
      </c>
      <c r="LY16" s="170"/>
      <c r="LZ16" s="170">
        <f t="shared" ref="LZ16:MD21" si="4">SUM(LX16:LY16)</f>
        <v>5579688072.9997749</v>
      </c>
      <c r="MA16" s="170"/>
      <c r="MB16" s="170"/>
      <c r="MC16" s="170"/>
      <c r="MD16" s="170">
        <f t="shared" si="4"/>
        <v>0</v>
      </c>
      <c r="ME16" s="111">
        <f>ROW()</f>
        <v>16</v>
      </c>
      <c r="MF16" s="117" t="s">
        <v>207</v>
      </c>
      <c r="MH16" s="168">
        <v>154403365.68999988</v>
      </c>
      <c r="MI16" s="168">
        <v>13716015.766056538</v>
      </c>
      <c r="MJ16" s="168">
        <f>MH16+MI16</f>
        <v>168119381.45605642</v>
      </c>
      <c r="MK16" s="168">
        <v>0</v>
      </c>
      <c r="ML16" s="168">
        <f>MJ16+MK16</f>
        <v>168119381.45605642</v>
      </c>
      <c r="MM16" s="168"/>
      <c r="MN16" s="168">
        <f>ML16+MM16</f>
        <v>168119381.45605642</v>
      </c>
      <c r="MO16" s="168"/>
      <c r="MP16" s="168">
        <f>MN16+MO16</f>
        <v>168119381.45605642</v>
      </c>
      <c r="MQ16" s="168"/>
      <c r="MR16" s="168">
        <f>MP16+MQ16</f>
        <v>168119381.45605642</v>
      </c>
      <c r="MS16" s="168"/>
      <c r="MT16" s="168"/>
      <c r="MU16" s="168"/>
      <c r="MV16" s="168"/>
      <c r="MW16" s="111">
        <f>ROW()</f>
        <v>16</v>
      </c>
      <c r="NO16" s="111">
        <f>ROW()</f>
        <v>16</v>
      </c>
      <c r="NP16" s="115" t="s">
        <v>59</v>
      </c>
      <c r="NR16" s="189"/>
      <c r="NS16" s="189"/>
      <c r="NT16" s="189"/>
      <c r="NU16" s="189"/>
      <c r="NV16" s="189"/>
      <c r="NW16" s="189"/>
      <c r="NX16" s="189">
        <f>'Summary DPK-7 '!I30</f>
        <v>7876060.1918395003</v>
      </c>
      <c r="NY16" s="889">
        <f>'O&amp;M'!L154</f>
        <v>358964.49331030715</v>
      </c>
      <c r="NZ16" s="189">
        <f>NY16+NX16</f>
        <v>8235024.6851498075</v>
      </c>
      <c r="OA16" s="889">
        <f>'O&amp;M'!M154</f>
        <v>720957.01860331092</v>
      </c>
      <c r="OB16" s="189">
        <f>OA16+NZ16</f>
        <v>8955981.7037531175</v>
      </c>
      <c r="OC16" s="717"/>
      <c r="OD16" s="717"/>
      <c r="OE16" s="717"/>
      <c r="OF16" s="717"/>
      <c r="OG16" s="111">
        <f>ROW()</f>
        <v>16</v>
      </c>
      <c r="OH16" s="168" t="s">
        <v>832</v>
      </c>
      <c r="OI16" s="168"/>
      <c r="OJ16" s="178"/>
      <c r="OK16" s="178"/>
      <c r="OL16" s="178"/>
      <c r="OM16" s="178"/>
      <c r="ON16" s="178"/>
      <c r="OO16" s="168"/>
      <c r="OP16" s="168"/>
      <c r="OQ16" s="168"/>
      <c r="OR16" s="168"/>
      <c r="OS16" s="168"/>
      <c r="OT16" s="168"/>
      <c r="OU16" s="168"/>
      <c r="OV16" s="168"/>
      <c r="OW16" s="168"/>
      <c r="OX16" s="168"/>
      <c r="OY16" s="111">
        <f>ROW()</f>
        <v>16</v>
      </c>
      <c r="OZ16" s="172" t="s">
        <v>832</v>
      </c>
      <c r="PA16" s="172"/>
      <c r="PB16" s="651" t="s">
        <v>893</v>
      </c>
      <c r="PC16" s="178"/>
      <c r="PD16" s="178"/>
      <c r="PE16" s="178"/>
      <c r="PF16" s="178"/>
      <c r="PG16" s="168"/>
      <c r="PH16" s="168"/>
      <c r="PI16" s="650"/>
      <c r="PJ16" s="650"/>
      <c r="PK16" s="650"/>
      <c r="PL16" s="650"/>
      <c r="PM16" s="650"/>
      <c r="PN16" s="650"/>
      <c r="PO16" s="168"/>
      <c r="PP16" s="168"/>
      <c r="PQ16" s="111">
        <f>ROW()</f>
        <v>16</v>
      </c>
      <c r="PR16" s="917" t="s">
        <v>201</v>
      </c>
      <c r="PS16" s="172"/>
      <c r="PT16" s="178"/>
      <c r="PU16" s="178"/>
      <c r="PV16" s="178"/>
      <c r="PW16" s="178"/>
      <c r="PX16" s="178"/>
      <c r="PY16" s="168"/>
      <c r="PZ16" s="168"/>
      <c r="QA16" s="168"/>
      <c r="QB16" s="168"/>
      <c r="QC16" s="168"/>
      <c r="QD16" s="168"/>
      <c r="QE16" s="168"/>
      <c r="QF16" s="168"/>
      <c r="QG16" s="168"/>
      <c r="QH16" s="168"/>
      <c r="QJ16" s="336">
        <f>ROW()</f>
        <v>16</v>
      </c>
      <c r="QK16" s="241" t="s">
        <v>324</v>
      </c>
      <c r="QL16" s="329"/>
      <c r="QM16" s="337"/>
      <c r="QN16" s="337"/>
      <c r="QO16" s="337"/>
      <c r="QP16" s="347"/>
      <c r="QQ16" s="347"/>
      <c r="QR16" s="347"/>
      <c r="QS16" s="347"/>
      <c r="QT16" s="347"/>
      <c r="QU16" s="347"/>
      <c r="QV16" s="347"/>
      <c r="QW16" s="347"/>
      <c r="QX16" s="347"/>
      <c r="QY16" s="347"/>
      <c r="QZ16" s="347"/>
      <c r="RA16" s="347"/>
      <c r="RB16" s="336">
        <f>ROW()</f>
        <v>16</v>
      </c>
      <c r="RC16" s="329"/>
      <c r="RD16" s="329"/>
      <c r="RE16" s="329"/>
      <c r="RF16" s="329"/>
      <c r="RG16" s="329"/>
      <c r="RH16" s="329"/>
      <c r="RI16" s="329"/>
      <c r="RJ16" s="329"/>
      <c r="RK16" s="329"/>
      <c r="RL16" s="329"/>
      <c r="RM16" s="329"/>
      <c r="RN16" s="329"/>
      <c r="RO16" s="329"/>
      <c r="RP16" s="329"/>
      <c r="RQ16" s="329"/>
      <c r="RR16" s="329"/>
      <c r="RS16" s="329"/>
      <c r="RT16" s="345">
        <f>ROW()</f>
        <v>16</v>
      </c>
      <c r="RU16" s="341" t="s">
        <v>964</v>
      </c>
      <c r="RV16" s="241"/>
      <c r="RW16" s="365"/>
      <c r="RX16" s="365"/>
      <c r="RY16" s="365"/>
      <c r="RZ16" s="361">
        <v>-42632.08</v>
      </c>
      <c r="SA16" s="361">
        <f>RZ16+RY16</f>
        <v>-42632.08</v>
      </c>
      <c r="SB16" s="361">
        <v>-254648.25999999995</v>
      </c>
      <c r="SC16" s="361">
        <f>SB16+SA16</f>
        <v>-297280.33999999997</v>
      </c>
      <c r="SD16" s="361">
        <v>-629245.79000000108</v>
      </c>
      <c r="SE16" s="361">
        <f>SD16+SC16</f>
        <v>-926526.13000000105</v>
      </c>
      <c r="SF16" s="361">
        <v>-629245.79000000108</v>
      </c>
      <c r="SG16" s="361">
        <f>SF16+SE16</f>
        <v>-1555771.9200000023</v>
      </c>
      <c r="SH16" s="361"/>
      <c r="SI16" s="361"/>
      <c r="SJ16" s="361"/>
      <c r="SK16" s="361"/>
      <c r="SL16" s="336">
        <f>ROW()</f>
        <v>16</v>
      </c>
      <c r="SM16" s="329" t="s">
        <v>964</v>
      </c>
      <c r="SN16" s="329"/>
      <c r="SO16" s="361"/>
      <c r="SP16" s="361"/>
      <c r="SQ16" s="361"/>
      <c r="SR16" s="361">
        <v>373113.37</v>
      </c>
      <c r="SS16" s="362">
        <f>SR16</f>
        <v>373113.37</v>
      </c>
      <c r="ST16" s="361">
        <v>3280867.8499999996</v>
      </c>
      <c r="SU16" s="362">
        <f>ST16+SS16</f>
        <v>3653981.2199999997</v>
      </c>
      <c r="SV16" s="362">
        <v>7670683.3799999999</v>
      </c>
      <c r="SW16" s="362">
        <f>SV16+SU16</f>
        <v>11324664.6</v>
      </c>
      <c r="SX16" s="362">
        <v>6362082.7800000031</v>
      </c>
      <c r="SY16" s="362">
        <f>SX16+SW16</f>
        <v>17686747.380000003</v>
      </c>
      <c r="SZ16" s="362"/>
      <c r="TA16" s="362"/>
      <c r="TB16" s="576"/>
      <c r="TC16" s="576"/>
      <c r="TE16" s="336">
        <f>ROW()</f>
        <v>16</v>
      </c>
      <c r="TK16"/>
      <c r="TL16"/>
      <c r="TM16"/>
      <c r="TN16"/>
      <c r="TO16"/>
      <c r="TP16"/>
      <c r="TQ16"/>
      <c r="TR16"/>
      <c r="TS16"/>
      <c r="TT16"/>
      <c r="TU16"/>
      <c r="TV16"/>
      <c r="TW16"/>
      <c r="TX16" s="336">
        <f>ROW()</f>
        <v>16</v>
      </c>
      <c r="TY16" s="3" t="s">
        <v>1096</v>
      </c>
      <c r="UQ16" s="345">
        <f>ROW()</f>
        <v>16</v>
      </c>
      <c r="UR16" s="837"/>
      <c r="US16" s="837"/>
      <c r="UT16" s="837"/>
      <c r="UU16" s="837"/>
      <c r="UV16" s="837"/>
      <c r="UW16" s="837"/>
      <c r="UX16" s="837"/>
      <c r="UY16" s="837"/>
      <c r="UZ16" s="837"/>
      <c r="VA16" s="837"/>
      <c r="VB16" s="837"/>
      <c r="VC16" s="837"/>
      <c r="VD16" s="837"/>
      <c r="VJ16" s="345">
        <f>ROW()</f>
        <v>16</v>
      </c>
      <c r="VK16" s="3"/>
      <c r="VY16" s="345">
        <f>ROW()</f>
        <v>16</v>
      </c>
      <c r="VZ16" s="112" t="s">
        <v>1534</v>
      </c>
      <c r="WB16" s="129"/>
      <c r="WC16" s="129"/>
      <c r="WD16" s="129"/>
      <c r="WE16" s="129"/>
      <c r="WF16" s="129"/>
      <c r="WG16" s="129"/>
      <c r="WH16" s="129"/>
      <c r="WI16" s="992">
        <f>WJ16-WH16</f>
        <v>403758.88800190948</v>
      </c>
      <c r="WJ16" s="992">
        <v>403758.88800190948</v>
      </c>
      <c r="WK16" s="992">
        <f>WL16-WJ16</f>
        <v>14131.56108006672</v>
      </c>
      <c r="WL16" s="992">
        <v>417890.4490819762</v>
      </c>
    </row>
    <row r="17" spans="1:610" ht="15.5" x14ac:dyDescent="0.35">
      <c r="A17" s="111">
        <f>ROW()</f>
        <v>17</v>
      </c>
      <c r="B17" t="s">
        <v>1481</v>
      </c>
      <c r="C17" s="1188" t="s">
        <v>1869</v>
      </c>
      <c r="D17" s="1189"/>
      <c r="E17" s="1189">
        <f>'GAS COS Revenues'!$D$19</f>
        <v>-1572845.0222729845</v>
      </c>
      <c r="F17" s="1189"/>
      <c r="G17" s="1191"/>
      <c r="H17" s="1189"/>
      <c r="I17" s="1191"/>
      <c r="J17" s="1191"/>
      <c r="K17" s="1191"/>
      <c r="L17" s="1191"/>
      <c r="M17" s="1191"/>
      <c r="N17" s="113"/>
      <c r="O17" s="113"/>
      <c r="P17" s="113"/>
      <c r="Q17" s="113"/>
      <c r="R17" s="113"/>
      <c r="S17" s="111">
        <f>ROW()</f>
        <v>17</v>
      </c>
      <c r="T17" s="238" t="s">
        <v>348</v>
      </c>
      <c r="U17" s="649"/>
      <c r="V17" s="114">
        <f t="shared" ref="V17:V28" si="5">-W17</f>
        <v>2838227.4896594137</v>
      </c>
      <c r="W17" s="114">
        <f>'GAS COS Revenues'!$E$10</f>
        <v>-2838227.4896594137</v>
      </c>
      <c r="X17" s="114"/>
      <c r="Y17" s="114"/>
      <c r="Z17" s="114">
        <f t="shared" ref="Z17:Z32" si="6">SUM(X17:Y17)</f>
        <v>0</v>
      </c>
      <c r="AA17" s="114"/>
      <c r="AB17" s="114">
        <f t="shared" ref="AB17:AB32" si="7">SUM(Z17:AA17)</f>
        <v>0</v>
      </c>
      <c r="AC17" s="114"/>
      <c r="AD17" s="114">
        <f t="shared" ref="AD17:AD32" si="8">SUM(AB17:AC17)</f>
        <v>0</v>
      </c>
      <c r="AE17" s="114"/>
      <c r="AF17" s="114">
        <f t="shared" ref="AF17:AF32" si="9">SUM(AD17:AE17)</f>
        <v>0</v>
      </c>
      <c r="AG17" s="114"/>
      <c r="AH17" s="114"/>
      <c r="AI17" s="114"/>
      <c r="AJ17" s="114"/>
      <c r="AK17" s="111">
        <f>ROW()</f>
        <v>17</v>
      </c>
      <c r="AL17" s="648"/>
      <c r="AM17" s="174"/>
      <c r="AN17" s="174"/>
      <c r="AO17" s="174"/>
      <c r="AP17" s="174"/>
      <c r="AQ17" s="174"/>
      <c r="AR17" s="174"/>
      <c r="AS17" s="174"/>
      <c r="AT17" s="174"/>
      <c r="AU17" s="174"/>
      <c r="AV17" s="174"/>
      <c r="AW17" s="174"/>
      <c r="AX17" s="174"/>
      <c r="AY17" s="174"/>
      <c r="AZ17" s="174"/>
      <c r="BA17" s="174"/>
      <c r="BB17" s="174"/>
      <c r="BC17" s="111">
        <f>ROW()</f>
        <v>17</v>
      </c>
      <c r="BD17" s="112" t="s">
        <v>902</v>
      </c>
      <c r="BF17" s="134">
        <v>-7579228.4499999881</v>
      </c>
      <c r="BG17" s="134">
        <v>7222499.4184199888</v>
      </c>
      <c r="BH17" s="134">
        <f>SUM(BF17:BG17)</f>
        <v>-356729.03157999925</v>
      </c>
      <c r="BI17" s="134">
        <v>0</v>
      </c>
      <c r="BJ17" s="134">
        <f>SUM(BH17:BI17)</f>
        <v>-356729.03157999925</v>
      </c>
      <c r="BK17" s="134">
        <v>0</v>
      </c>
      <c r="BL17" s="134">
        <f>SUM(BJ17:BK17)</f>
        <v>-356729.03157999925</v>
      </c>
      <c r="BM17" s="134">
        <v>0</v>
      </c>
      <c r="BN17" s="134">
        <f>SUM(BL17:BM17)</f>
        <v>-356729.03157999925</v>
      </c>
      <c r="BO17" s="134">
        <v>0</v>
      </c>
      <c r="BP17" s="134">
        <f>SUM(BN17:BO17)</f>
        <v>-356729.03157999925</v>
      </c>
      <c r="BQ17" s="134"/>
      <c r="BR17" s="134"/>
      <c r="BS17" s="134"/>
      <c r="BT17" s="134"/>
      <c r="BU17" s="111">
        <f>ROW()</f>
        <v>17</v>
      </c>
      <c r="BV17" s="159" t="s">
        <v>210</v>
      </c>
      <c r="BX17" s="329"/>
      <c r="BY17" s="329"/>
      <c r="CA17" s="329"/>
      <c r="CC17" s="329"/>
      <c r="CD17" s="1"/>
      <c r="CE17" s="329"/>
      <c r="CF17" s="1"/>
      <c r="CG17" s="329"/>
      <c r="CH17" s="1"/>
      <c r="CI17" s="1"/>
      <c r="CJ17" s="1"/>
      <c r="CK17" s="329"/>
      <c r="CL17" s="1"/>
      <c r="CM17" s="111">
        <f>ROW()</f>
        <v>17</v>
      </c>
      <c r="CN17" s="112" t="s">
        <v>1012</v>
      </c>
      <c r="CP17" s="178">
        <v>4086558.0641600001</v>
      </c>
      <c r="CQ17" s="178">
        <v>-269672.36803698959</v>
      </c>
      <c r="CR17" s="178">
        <f>SUM(CP17:CQ17)</f>
        <v>3816885.6961230105</v>
      </c>
      <c r="CS17" s="114"/>
      <c r="CT17" s="178">
        <f>SUM(CR17:CS17)</f>
        <v>3816885.6961230105</v>
      </c>
      <c r="CU17" s="114"/>
      <c r="CV17" s="178">
        <f>SUM(CT17:CU17)</f>
        <v>3816885.6961230105</v>
      </c>
      <c r="CW17" s="114"/>
      <c r="CX17" s="114">
        <f>SUM(CV17:CW17)</f>
        <v>3816885.6961230105</v>
      </c>
      <c r="CY17" s="114"/>
      <c r="CZ17" s="114">
        <f>SUM(CX17:CY17)</f>
        <v>3816885.6961230105</v>
      </c>
      <c r="DA17" s="114"/>
      <c r="DB17" s="114"/>
      <c r="DC17" s="114"/>
      <c r="DD17" s="114"/>
      <c r="DE17" s="111">
        <f>ROW()</f>
        <v>17</v>
      </c>
      <c r="DF17" s="172" t="s">
        <v>213</v>
      </c>
      <c r="DG17" s="172"/>
      <c r="DH17" s="134"/>
      <c r="DI17" s="134"/>
      <c r="DJ17" s="134"/>
      <c r="DK17" s="134"/>
      <c r="DL17" s="134"/>
      <c r="DW17" s="111">
        <f>ROW()</f>
        <v>17</v>
      </c>
      <c r="DX17" s="167" t="s">
        <v>868</v>
      </c>
      <c r="DY17" s="167"/>
      <c r="DZ17" s="647">
        <f t="shared" ref="DZ17:EJ17" si="10">SUM(DZ16)</f>
        <v>51494328.660999998</v>
      </c>
      <c r="EA17" s="647">
        <f t="shared" si="10"/>
        <v>858.74887999892235</v>
      </c>
      <c r="EB17" s="647">
        <f t="shared" si="10"/>
        <v>51495187.409879997</v>
      </c>
      <c r="EC17" s="647">
        <f t="shared" si="10"/>
        <v>0</v>
      </c>
      <c r="ED17" s="647">
        <f t="shared" si="10"/>
        <v>51495187.409879997</v>
      </c>
      <c r="EE17" s="647">
        <f t="shared" si="10"/>
        <v>0</v>
      </c>
      <c r="EF17" s="647">
        <f t="shared" si="10"/>
        <v>51495187.409879997</v>
      </c>
      <c r="EG17" s="647">
        <f t="shared" si="10"/>
        <v>0</v>
      </c>
      <c r="EH17" s="647">
        <f t="shared" si="10"/>
        <v>51495187.409879997</v>
      </c>
      <c r="EI17" s="647">
        <f t="shared" si="10"/>
        <v>0</v>
      </c>
      <c r="EJ17" s="647">
        <f t="shared" si="10"/>
        <v>51495187.409879997</v>
      </c>
      <c r="EK17" s="647"/>
      <c r="EL17" s="647"/>
      <c r="EM17" s="647"/>
      <c r="EN17" s="647"/>
      <c r="EO17" s="111">
        <f>ROW()</f>
        <v>17</v>
      </c>
      <c r="EP17" s="112" t="s">
        <v>216</v>
      </c>
      <c r="EQ17" s="112"/>
      <c r="ER17" s="170">
        <v>9129728.9190494381</v>
      </c>
      <c r="ES17" s="170">
        <f>ET17-ER17</f>
        <v>-15395.465999677777</v>
      </c>
      <c r="ET17" s="170">
        <v>9114333.4530497603</v>
      </c>
      <c r="EU17" s="170">
        <f>EV17-ET17</f>
        <v>373375.72277824022</v>
      </c>
      <c r="EV17" s="170">
        <v>9487709.1758280005</v>
      </c>
      <c r="EW17" s="170"/>
      <c r="EX17" s="170">
        <f>SUM(EV17:EW17)</f>
        <v>9487709.1758280005</v>
      </c>
      <c r="EY17" s="170"/>
      <c r="EZ17" s="170">
        <f>SUM(EX17:EY17)</f>
        <v>9487709.1758280005</v>
      </c>
      <c r="FA17" s="170"/>
      <c r="FB17" s="170">
        <f>SUM(EZ17:FA17)</f>
        <v>9487709.1758280005</v>
      </c>
      <c r="FC17" s="170"/>
      <c r="FD17" s="170"/>
      <c r="FE17" s="170"/>
      <c r="FF17" s="170"/>
      <c r="FG17" s="111">
        <f>ROW()</f>
        <v>17</v>
      </c>
      <c r="FH17" s="1" t="s">
        <v>211</v>
      </c>
      <c r="FI17" s="114"/>
      <c r="FJ17" s="176">
        <v>450050.02114780352</v>
      </c>
      <c r="FK17" s="176">
        <v>-7375.9337625919143</v>
      </c>
      <c r="FL17" s="176">
        <f>FJ17+FK17</f>
        <v>442674.08738521161</v>
      </c>
      <c r="FM17" s="121"/>
      <c r="FN17" s="177">
        <f>FL17+FM17</f>
        <v>442674.08738521161</v>
      </c>
      <c r="FO17" s="121"/>
      <c r="FP17" s="177">
        <f>FN17+FO17</f>
        <v>442674.08738521161</v>
      </c>
      <c r="FQ17" s="121"/>
      <c r="FR17" s="177">
        <f>FP17+FQ17</f>
        <v>442674.08738521161</v>
      </c>
      <c r="FS17" s="121"/>
      <c r="FT17" s="177">
        <f>FR17+FS17</f>
        <v>442674.08738521161</v>
      </c>
      <c r="FU17" s="121"/>
      <c r="FV17" s="121"/>
      <c r="FW17" s="121"/>
      <c r="FX17" s="177"/>
      <c r="FY17" s="111">
        <f>ROW()</f>
        <v>17</v>
      </c>
      <c r="FZ17" s="249" t="s">
        <v>1010</v>
      </c>
      <c r="GB17" s="168">
        <v>7024.9238169602959</v>
      </c>
      <c r="GC17" s="168">
        <v>-2379.8392482455183</v>
      </c>
      <c r="GD17" s="168">
        <f t="shared" ref="GD17:GD25" si="11">SUM(GB17:GC17)</f>
        <v>4645.0845687147776</v>
      </c>
      <c r="GE17" s="168">
        <v>364.69205552281073</v>
      </c>
      <c r="GF17" s="168">
        <f t="shared" ref="GF17:GF25" si="12">SUM(GD17:GE17)</f>
        <v>5009.7766242375883</v>
      </c>
      <c r="GG17" s="168">
        <v>159.9196766590394</v>
      </c>
      <c r="GH17" s="168">
        <f t="shared" ref="GH17:GH25" si="13">SUM(GF17:GG17)</f>
        <v>5169.6963008966277</v>
      </c>
      <c r="GI17" s="168">
        <v>37.935473219233245</v>
      </c>
      <c r="GJ17" s="168">
        <f t="shared" ref="GJ17:GJ25" si="14">SUM(GH17:GI17)</f>
        <v>5207.6317741158609</v>
      </c>
      <c r="GK17" s="168">
        <v>3.0013635929371958</v>
      </c>
      <c r="GL17" s="168">
        <f t="shared" ref="GL17:GL25" si="15">SUM(GJ17:GK17)</f>
        <v>5210.6331377087981</v>
      </c>
      <c r="GM17" s="168"/>
      <c r="GN17" s="168"/>
      <c r="GO17" s="168"/>
      <c r="GP17" s="168"/>
      <c r="GQ17" s="111">
        <f>ROW()</f>
        <v>17</v>
      </c>
      <c r="GR17" s="112" t="s">
        <v>215</v>
      </c>
      <c r="GS17" s="111"/>
      <c r="GT17" s="233">
        <v>5446331.6856000004</v>
      </c>
      <c r="GU17" s="233">
        <v>379064.68531776033</v>
      </c>
      <c r="GV17" s="646">
        <f>SUM(GT17:GU17)</f>
        <v>5825396.3709177608</v>
      </c>
      <c r="GW17" s="233">
        <v>0</v>
      </c>
      <c r="GX17" s="646">
        <f t="shared" ref="GX17" si="16">SUM(GV17:GW17)</f>
        <v>5825396.3709177608</v>
      </c>
      <c r="GY17" s="233">
        <v>0</v>
      </c>
      <c r="GZ17" s="646">
        <f t="shared" ref="GZ17" si="17">SUM(GX17:GY17)</f>
        <v>5825396.3709177608</v>
      </c>
      <c r="HA17" s="233">
        <v>0</v>
      </c>
      <c r="HB17" s="646">
        <f t="shared" ref="HB17" si="18">SUM(GZ17:HA17)</f>
        <v>5825396.3709177608</v>
      </c>
      <c r="HC17" s="233">
        <v>0</v>
      </c>
      <c r="HD17" s="646">
        <f t="shared" ref="HD17" si="19">SUM(HB17:HC17)</f>
        <v>5825396.3709177608</v>
      </c>
      <c r="HE17" s="233"/>
      <c r="HF17" s="646"/>
      <c r="HG17" s="233"/>
      <c r="HH17" s="646"/>
      <c r="HI17" s="111">
        <f>ROW()</f>
        <v>17</v>
      </c>
      <c r="IA17" s="111">
        <f>ROW()</f>
        <v>17</v>
      </c>
      <c r="IB17" s="1" t="s">
        <v>1801</v>
      </c>
      <c r="IC17" s="113"/>
      <c r="ID17" s="215">
        <v>3485252.3336075996</v>
      </c>
      <c r="IE17" s="215">
        <v>380063.69219240034</v>
      </c>
      <c r="IF17" s="215">
        <f>SUM(ID17:IE17)</f>
        <v>3865316.0257999999</v>
      </c>
      <c r="IG17" s="215">
        <v>0</v>
      </c>
      <c r="IH17" s="215">
        <f>SUM(IF17:IG17)</f>
        <v>3865316.0257999999</v>
      </c>
      <c r="II17" s="645"/>
      <c r="IJ17" s="215">
        <f>SUM(IH17:II17)</f>
        <v>3865316.0257999999</v>
      </c>
      <c r="IK17" s="645"/>
      <c r="IL17" s="215">
        <f>SUM(IJ17:IK17)</f>
        <v>3865316.0257999999</v>
      </c>
      <c r="IM17" s="645"/>
      <c r="IN17" s="215">
        <f>SUM(IL17:IM17)</f>
        <v>3865316.0257999999</v>
      </c>
      <c r="IO17" s="215"/>
      <c r="IP17" s="215"/>
      <c r="IQ17" s="645"/>
      <c r="IR17" s="215"/>
      <c r="IS17" s="111">
        <f>ROW()</f>
        <v>17</v>
      </c>
      <c r="IT17" s="1" t="s">
        <v>1011</v>
      </c>
      <c r="IV17" s="114"/>
      <c r="IW17" s="114"/>
      <c r="IX17" s="114">
        <f>SUM(IV17:IW17)</f>
        <v>0</v>
      </c>
      <c r="IY17" s="114"/>
      <c r="IZ17" s="114">
        <f>SUM(IX17:IY17)</f>
        <v>0</v>
      </c>
      <c r="JA17" s="114"/>
      <c r="JB17" s="114">
        <f>SUM(IZ17:JA17)</f>
        <v>0</v>
      </c>
      <c r="JC17" s="114"/>
      <c r="JD17" s="114">
        <f>SUM(JB17:JC17)</f>
        <v>0</v>
      </c>
      <c r="JE17" s="114"/>
      <c r="JF17" s="114">
        <f>SUM(JD17:JE17)</f>
        <v>0</v>
      </c>
      <c r="JG17" s="114"/>
      <c r="JH17" s="114"/>
      <c r="JI17" s="114"/>
      <c r="JJ17" s="114"/>
      <c r="JK17" s="111">
        <f>ROW()</f>
        <v>17</v>
      </c>
      <c r="JL17" s="112"/>
      <c r="JM17" s="112"/>
      <c r="JN17" s="644"/>
      <c r="JO17" s="644"/>
      <c r="JP17" s="438"/>
      <c r="JQ17" s="438"/>
      <c r="JR17" s="438"/>
      <c r="JS17" s="414"/>
      <c r="JT17" s="438"/>
      <c r="JU17" s="414"/>
      <c r="JV17" s="438"/>
      <c r="JW17" s="414"/>
      <c r="JX17" s="438"/>
      <c r="JY17" s="438"/>
      <c r="JZ17" s="438"/>
      <c r="KA17" s="414"/>
      <c r="KB17" s="438"/>
      <c r="KC17" s="111">
        <f>ROW()</f>
        <v>17</v>
      </c>
      <c r="KD17" s="112" t="s">
        <v>214</v>
      </c>
      <c r="KE17" s="112"/>
      <c r="KF17" s="643">
        <f>SUM(KF16:KF16)</f>
        <v>896431.4272056577</v>
      </c>
      <c r="KG17" s="643">
        <f>SUM(KG16:KG16)</f>
        <v>1414165.1287299758</v>
      </c>
      <c r="KH17" s="643">
        <f>SUM(KH16:KH16)</f>
        <v>2310596.5559356334</v>
      </c>
      <c r="KI17" s="643">
        <f t="shared" ref="KI17:KP17" si="20">SUM(KI16)</f>
        <v>0</v>
      </c>
      <c r="KJ17" s="643">
        <f t="shared" si="20"/>
        <v>2310596.5559356334</v>
      </c>
      <c r="KK17" s="643">
        <f t="shared" si="20"/>
        <v>0</v>
      </c>
      <c r="KL17" s="643">
        <f t="shared" si="20"/>
        <v>2310596.5559356334</v>
      </c>
      <c r="KM17" s="643">
        <f t="shared" si="20"/>
        <v>0</v>
      </c>
      <c r="KN17" s="643">
        <f t="shared" si="20"/>
        <v>2310596.5559356334</v>
      </c>
      <c r="KO17" s="643">
        <f t="shared" si="20"/>
        <v>0</v>
      </c>
      <c r="KP17" s="643">
        <f t="shared" si="20"/>
        <v>2310596.5559356334</v>
      </c>
      <c r="KQ17" s="643"/>
      <c r="KR17" s="643"/>
      <c r="KS17" s="643"/>
      <c r="KT17" s="643"/>
      <c r="KU17" s="111">
        <f>ROW()</f>
        <v>17</v>
      </c>
      <c r="KV17" s="249" t="s">
        <v>1010</v>
      </c>
      <c r="KW17" s="232"/>
      <c r="KX17" s="114">
        <v>101541.92214979997</v>
      </c>
      <c r="KY17" s="114">
        <v>3085.7129100409511</v>
      </c>
      <c r="KZ17" s="170">
        <f t="shared" ref="KZ17:KZ25" si="21">SUM(KX17:KY17)</f>
        <v>104627.63505984092</v>
      </c>
      <c r="LA17" s="114">
        <v>0</v>
      </c>
      <c r="LB17" s="170">
        <f t="shared" ref="LB17:LB25" si="22">SUM(KZ17:LA17)</f>
        <v>104627.63505984092</v>
      </c>
      <c r="LC17" s="114">
        <v>0</v>
      </c>
      <c r="LD17" s="170">
        <f t="shared" ref="LD17:LD25" si="23">SUM(LB17:LC17)</f>
        <v>104627.63505984092</v>
      </c>
      <c r="LE17" s="114">
        <v>0</v>
      </c>
      <c r="LF17" s="170">
        <f t="shared" ref="LF17:LF25" si="24">SUM(LD17:LE17)</f>
        <v>104627.63505984092</v>
      </c>
      <c r="LG17" s="114">
        <v>0</v>
      </c>
      <c r="LH17" s="170">
        <f t="shared" ref="LH17:LL25" si="25">SUM(LF17:LG17)</f>
        <v>104627.63505984092</v>
      </c>
      <c r="LI17" s="114">
        <v>0</v>
      </c>
      <c r="LJ17" s="170"/>
      <c r="LK17" s="114">
        <v>0</v>
      </c>
      <c r="LL17" s="170">
        <f t="shared" si="25"/>
        <v>0</v>
      </c>
      <c r="LM17" s="111">
        <f>ROW()</f>
        <v>17</v>
      </c>
      <c r="LN17" s="117" t="s">
        <v>21</v>
      </c>
      <c r="LP17" s="191">
        <v>-2082138429.1273692</v>
      </c>
      <c r="LQ17" s="191">
        <v>-37040806.652540684</v>
      </c>
      <c r="LR17" s="121">
        <f t="shared" si="0"/>
        <v>-2119179235.7799098</v>
      </c>
      <c r="LS17" s="121"/>
      <c r="LT17" s="121">
        <f t="shared" si="1"/>
        <v>-2119179235.7799098</v>
      </c>
      <c r="LU17" s="121"/>
      <c r="LV17" s="121">
        <f t="shared" si="2"/>
        <v>-2119179235.7799098</v>
      </c>
      <c r="LW17" s="121"/>
      <c r="LX17" s="121">
        <f t="shared" si="3"/>
        <v>-2119179235.7799098</v>
      </c>
      <c r="LY17" s="121"/>
      <c r="LZ17" s="121">
        <f t="shared" si="4"/>
        <v>-2119179235.7799098</v>
      </c>
      <c r="MA17" s="121"/>
      <c r="MB17" s="121"/>
      <c r="MC17" s="121"/>
      <c r="MD17" s="121">
        <f t="shared" si="4"/>
        <v>0</v>
      </c>
      <c r="ME17" s="111">
        <f>ROW()</f>
        <v>17</v>
      </c>
      <c r="MF17" s="117" t="s">
        <v>217</v>
      </c>
      <c r="MH17" s="121">
        <v>10061700.168105001</v>
      </c>
      <c r="MI17" s="121">
        <v>-660479.469045192</v>
      </c>
      <c r="MJ17" s="121">
        <f t="shared" ref="MJ17:MJ19" si="26">MH17+MI17</f>
        <v>9401220.6990598086</v>
      </c>
      <c r="MK17" s="121">
        <v>0</v>
      </c>
      <c r="ML17" s="121">
        <f>MJ17+MK17</f>
        <v>9401220.6990598086</v>
      </c>
      <c r="MM17" s="121"/>
      <c r="MN17" s="121">
        <f>ML17+MM17</f>
        <v>9401220.6990598086</v>
      </c>
      <c r="MO17" s="121"/>
      <c r="MP17" s="121">
        <f>MN17+MO17</f>
        <v>9401220.6990598086</v>
      </c>
      <c r="MQ17" s="121"/>
      <c r="MR17" s="121">
        <f>MP17+MQ17</f>
        <v>9401220.6990598086</v>
      </c>
      <c r="MS17" s="121"/>
      <c r="MT17" s="121"/>
      <c r="MU17" s="121"/>
      <c r="MV17" s="121"/>
      <c r="MW17" s="111">
        <f>ROW()</f>
        <v>17</v>
      </c>
      <c r="MX17" s="634" t="s">
        <v>212</v>
      </c>
      <c r="MZ17" s="629">
        <v>5299162.91</v>
      </c>
      <c r="NA17" s="629">
        <v>-18253.489559999667</v>
      </c>
      <c r="NB17" s="629">
        <v>5280909.4204400005</v>
      </c>
      <c r="NC17" s="731"/>
      <c r="ND17" s="730">
        <f>SUM(NB17:NC17)</f>
        <v>5280909.4204400005</v>
      </c>
      <c r="NE17" s="731"/>
      <c r="NF17" s="730">
        <f>SUM(ND17:NE17)</f>
        <v>5280909.4204400005</v>
      </c>
      <c r="NG17" s="731"/>
      <c r="NH17" s="730">
        <f>SUM(NF17:NG17)</f>
        <v>5280909.4204400005</v>
      </c>
      <c r="NI17" s="731"/>
      <c r="NJ17" s="730">
        <f>SUM(NH17:NI17)</f>
        <v>5280909.4204400005</v>
      </c>
      <c r="NK17" s="731"/>
      <c r="NL17" s="730"/>
      <c r="NM17" s="731"/>
      <c r="NN17" s="730">
        <f>SUM(NL17:NM17)</f>
        <v>0</v>
      </c>
      <c r="NO17" s="111">
        <f>ROW()</f>
        <v>17</v>
      </c>
      <c r="NP17" s="112" t="s">
        <v>60</v>
      </c>
      <c r="NR17" s="189"/>
      <c r="NS17" s="189"/>
      <c r="NT17" s="189"/>
      <c r="NU17" s="189"/>
      <c r="NV17" s="189"/>
      <c r="NW17" s="189"/>
      <c r="NX17" s="189">
        <f>'Summary DPK-7 '!I31</f>
        <v>0</v>
      </c>
      <c r="NY17" s="889">
        <f>'O&amp;M'!L155</f>
        <v>0</v>
      </c>
      <c r="NZ17" s="189">
        <f t="shared" ref="NZ17:NZ22" si="27">NY17+NX17</f>
        <v>0</v>
      </c>
      <c r="OA17" s="889">
        <f>'O&amp;M'!M155</f>
        <v>0</v>
      </c>
      <c r="OB17" s="189">
        <f t="shared" ref="OB17:OB22" si="28">OA17+NZ17</f>
        <v>0</v>
      </c>
      <c r="OC17" s="717"/>
      <c r="OD17" s="717"/>
      <c r="OE17" s="717"/>
      <c r="OF17" s="717"/>
      <c r="OG17" s="111">
        <f>ROW()</f>
        <v>17</v>
      </c>
      <c r="OH17" s="121" t="s">
        <v>835</v>
      </c>
      <c r="OI17" s="121"/>
      <c r="OJ17" s="358"/>
      <c r="OK17" s="358"/>
      <c r="OL17" s="358"/>
      <c r="OM17" s="358"/>
      <c r="ON17" s="358"/>
      <c r="OO17" s="357"/>
      <c r="OP17" s="357"/>
      <c r="OQ17" s="357"/>
      <c r="OR17" s="357"/>
      <c r="OS17" s="357"/>
      <c r="OT17" s="357"/>
      <c r="OU17" s="357"/>
      <c r="OV17" s="357"/>
      <c r="OW17" s="357"/>
      <c r="OX17" s="357"/>
      <c r="OY17" s="111">
        <f>ROW()</f>
        <v>17</v>
      </c>
      <c r="OZ17" s="112" t="s">
        <v>835</v>
      </c>
      <c r="PA17" s="172"/>
      <c r="PB17" s="642"/>
      <c r="PC17" s="178"/>
      <c r="PD17" s="178"/>
      <c r="PE17" s="178"/>
      <c r="PF17" s="178"/>
      <c r="PG17" s="121"/>
      <c r="PH17" s="121"/>
      <c r="PI17" s="641"/>
      <c r="PJ17" s="641"/>
      <c r="PK17" s="641"/>
      <c r="PL17" s="641"/>
      <c r="PM17" s="641"/>
      <c r="PN17" s="641"/>
      <c r="PO17" s="121"/>
      <c r="PP17" s="121"/>
      <c r="PQ17" s="111">
        <f>ROW()</f>
        <v>17</v>
      </c>
      <c r="PR17" s="918" t="s">
        <v>1472</v>
      </c>
      <c r="PS17" s="172"/>
      <c r="PT17" s="921">
        <v>5387522.0899999971</v>
      </c>
      <c r="PU17" s="921">
        <f>PV17-PT17</f>
        <v>338867.23404892068</v>
      </c>
      <c r="PV17" s="921">
        <v>5726389.3240489177</v>
      </c>
      <c r="PW17" s="921">
        <f>PX17-PV17</f>
        <v>-10589.577548920177</v>
      </c>
      <c r="PX17" s="921">
        <v>5715799.7464999976</v>
      </c>
      <c r="PY17" s="177">
        <f>PZ17-PX17</f>
        <v>10589.591500000097</v>
      </c>
      <c r="PZ17" s="177">
        <v>5726389.3379999977</v>
      </c>
      <c r="QA17" s="177">
        <f>QB17-PZ17</f>
        <v>-1729712.4673011312</v>
      </c>
      <c r="QB17" s="177">
        <v>3996676.8706988664</v>
      </c>
      <c r="QC17" s="177">
        <f>QD17-QB17</f>
        <v>-1789107.5335728293</v>
      </c>
      <c r="QD17" s="177">
        <v>2207569.3371260371</v>
      </c>
      <c r="QE17" s="177"/>
      <c r="QF17" s="177"/>
      <c r="QG17" s="177"/>
      <c r="QH17" s="177"/>
      <c r="QJ17" s="336">
        <f>ROW()</f>
        <v>17</v>
      </c>
      <c r="QK17" s="1" t="s">
        <v>837</v>
      </c>
      <c r="QL17" s="329"/>
      <c r="QO17" s="134">
        <f>QM17+QN17</f>
        <v>0</v>
      </c>
      <c r="QP17" s="134">
        <v>-4692533.0386116672</v>
      </c>
      <c r="QQ17" s="134">
        <f>QO17+QP17</f>
        <v>-4692533.0386116672</v>
      </c>
      <c r="QR17" s="134">
        <v>-24880223.598138332</v>
      </c>
      <c r="QS17" s="134">
        <f>QQ17+QR17</f>
        <v>-29572756.636749998</v>
      </c>
      <c r="QT17" s="134">
        <v>-7243194.7537397146</v>
      </c>
      <c r="QU17" s="134">
        <f>QS17+QT17</f>
        <v>-36815951.390489712</v>
      </c>
      <c r="QV17" s="134">
        <v>-132706230.10262708</v>
      </c>
      <c r="QW17" s="134">
        <f>QU17+QV17</f>
        <v>-169522181.4931168</v>
      </c>
      <c r="QX17" s="134"/>
      <c r="QY17" s="134"/>
      <c r="QZ17" s="134"/>
      <c r="RA17" s="134"/>
      <c r="RB17" s="336">
        <f>ROW()</f>
        <v>17</v>
      </c>
      <c r="RC17" s="329" t="s">
        <v>964</v>
      </c>
      <c r="RD17" s="329"/>
      <c r="RE17" s="362"/>
      <c r="RF17" s="362"/>
      <c r="RG17" s="362">
        <v>168485125.80511621</v>
      </c>
      <c r="RH17" s="362">
        <f>RI17-RG17</f>
        <v>609100.87321215868</v>
      </c>
      <c r="RI17" s="361">
        <v>169094226.67832837</v>
      </c>
      <c r="RJ17" s="362">
        <f>RK17-RI17</f>
        <v>284689.21257165074</v>
      </c>
      <c r="RK17" s="361">
        <v>169378915.89090002</v>
      </c>
      <c r="RL17" s="362">
        <f>RM17-RK17</f>
        <v>70461019.660000026</v>
      </c>
      <c r="RM17" s="361">
        <v>239839935.55090004</v>
      </c>
      <c r="RN17" s="362">
        <f>RO17-RM17</f>
        <v>-4411272.8182750046</v>
      </c>
      <c r="RO17" s="361">
        <v>235428662.73262504</v>
      </c>
      <c r="RP17" s="361"/>
      <c r="RQ17" s="361"/>
      <c r="RR17" s="362"/>
      <c r="RS17" s="361"/>
      <c r="RT17" s="345">
        <f>ROW()</f>
        <v>17</v>
      </c>
      <c r="RU17" s="341" t="s">
        <v>963</v>
      </c>
      <c r="RV17" s="241"/>
      <c r="RW17" s="366"/>
      <c r="RX17" s="366"/>
      <c r="RY17" s="366"/>
      <c r="RZ17" s="265">
        <v>0</v>
      </c>
      <c r="SA17" s="265">
        <f>RZ17+RY17</f>
        <v>0</v>
      </c>
      <c r="SB17" s="265">
        <v>0</v>
      </c>
      <c r="SC17" s="265">
        <f>SB17+SA17</f>
        <v>0</v>
      </c>
      <c r="SD17" s="265">
        <v>0</v>
      </c>
      <c r="SE17" s="265">
        <f>SD17+SC17</f>
        <v>0</v>
      </c>
      <c r="SF17" s="265">
        <v>0</v>
      </c>
      <c r="SG17" s="265">
        <f>SF17+SE17</f>
        <v>0</v>
      </c>
      <c r="SH17" s="265"/>
      <c r="SI17" s="265"/>
      <c r="SJ17" s="265"/>
      <c r="SK17" s="265"/>
      <c r="SL17" s="336">
        <f>ROW()</f>
        <v>17</v>
      </c>
      <c r="SM17" s="329" t="s">
        <v>963</v>
      </c>
      <c r="SN17" s="338"/>
      <c r="SO17" s="265"/>
      <c r="SP17" s="265"/>
      <c r="SQ17" s="265"/>
      <c r="SR17" s="265">
        <v>52291.459549999992</v>
      </c>
      <c r="SS17" s="356">
        <f>SR17</f>
        <v>52291.459549999992</v>
      </c>
      <c r="ST17" s="265">
        <v>1207637.237095</v>
      </c>
      <c r="SU17" s="356">
        <f>ST17+SS17</f>
        <v>1259928.696645</v>
      </c>
      <c r="SV17" s="356">
        <v>534246.59817499993</v>
      </c>
      <c r="SW17" s="356">
        <f>SV17+SU17</f>
        <v>1794175.29482</v>
      </c>
      <c r="SX17" s="356">
        <v>539806.42563500023</v>
      </c>
      <c r="SY17" s="356">
        <f>SX17+SW17</f>
        <v>2333981.7204550002</v>
      </c>
      <c r="SZ17" s="356"/>
      <c r="TA17" s="356"/>
      <c r="TB17" s="525"/>
      <c r="TC17" s="525"/>
      <c r="TE17" s="336">
        <f>ROW()</f>
        <v>17</v>
      </c>
      <c r="TF17" s="332" t="s">
        <v>1430</v>
      </c>
      <c r="TG17" s="870"/>
      <c r="TH17" s="871"/>
      <c r="TI17" s="872"/>
      <c r="TJ17" s="329"/>
      <c r="TK17" s="329"/>
      <c r="TL17" s="329"/>
      <c r="TM17" s="329"/>
      <c r="TN17" s="329"/>
      <c r="TO17" s="329"/>
      <c r="TP17" s="329"/>
      <c r="TQ17" s="329"/>
      <c r="TR17" s="329"/>
      <c r="TS17"/>
      <c r="TT17"/>
      <c r="TU17"/>
      <c r="TV17"/>
      <c r="TW17"/>
      <c r="TX17" s="336">
        <f>ROW()</f>
        <v>17</v>
      </c>
      <c r="UA17" s="764"/>
      <c r="UB17" s="764"/>
      <c r="UC17" s="764"/>
      <c r="UD17" s="764"/>
      <c r="UE17" s="764"/>
      <c r="UF17" s="764"/>
      <c r="UG17" s="764"/>
      <c r="UH17" s="764"/>
      <c r="UI17" s="764"/>
      <c r="UJ17" s="764"/>
      <c r="UK17" s="764"/>
      <c r="UL17" s="764"/>
      <c r="UM17" s="764"/>
      <c r="UN17" s="764"/>
      <c r="UO17" s="764"/>
      <c r="UQ17" s="345">
        <f>ROW()</f>
        <v>17</v>
      </c>
      <c r="UR17" s="837"/>
      <c r="US17" s="837"/>
      <c r="UT17" s="837"/>
      <c r="UU17" s="837"/>
      <c r="UV17" s="837"/>
      <c r="UW17" s="837"/>
      <c r="UX17" s="837"/>
      <c r="UY17" s="837"/>
      <c r="UZ17" s="837"/>
      <c r="VA17" s="837"/>
      <c r="VB17" s="837"/>
      <c r="VC17" s="837"/>
      <c r="VD17" s="837"/>
      <c r="VJ17" s="345">
        <f>ROW()</f>
        <v>17</v>
      </c>
      <c r="VM17" s="178"/>
      <c r="VN17" s="178"/>
      <c r="VO17" s="1096"/>
      <c r="VY17" s="345">
        <f>ROW()</f>
        <v>17</v>
      </c>
    </row>
    <row r="18" spans="1:610" ht="16" thickBot="1" x14ac:dyDescent="0.4">
      <c r="A18" s="111">
        <f>ROW()</f>
        <v>18</v>
      </c>
      <c r="B18" t="s">
        <v>1460</v>
      </c>
      <c r="C18" s="1188" t="s">
        <v>1869</v>
      </c>
      <c r="D18" s="1192"/>
      <c r="E18" s="1192">
        <f>'GAS COS Revenues'!$D$48</f>
        <v>2964723.5896382895</v>
      </c>
      <c r="F18" s="1189"/>
      <c r="G18" s="1193"/>
      <c r="H18" s="1189"/>
      <c r="I18" s="1193"/>
      <c r="J18" s="1191"/>
      <c r="K18" s="1193"/>
      <c r="L18" s="1193"/>
      <c r="M18" s="1193"/>
      <c r="N18" s="189"/>
      <c r="O18" s="189"/>
      <c r="P18" s="189"/>
      <c r="Q18" s="189"/>
      <c r="R18" s="189"/>
      <c r="S18" s="111">
        <f>ROW()</f>
        <v>18</v>
      </c>
      <c r="T18" s="238" t="s">
        <v>1009</v>
      </c>
      <c r="U18" s="239"/>
      <c r="V18" s="121">
        <f t="shared" si="5"/>
        <v>23465708.625276089</v>
      </c>
      <c r="W18" s="134">
        <f>'GAS COS Revenues'!$E$9</f>
        <v>-23465708.625276089</v>
      </c>
      <c r="X18" s="134"/>
      <c r="Y18" s="134"/>
      <c r="Z18" s="134">
        <f t="shared" si="6"/>
        <v>0</v>
      </c>
      <c r="AA18" s="134"/>
      <c r="AB18" s="134">
        <f t="shared" si="7"/>
        <v>0</v>
      </c>
      <c r="AC18" s="134"/>
      <c r="AD18" s="134">
        <f t="shared" si="8"/>
        <v>0</v>
      </c>
      <c r="AE18" s="134"/>
      <c r="AF18" s="134">
        <f t="shared" si="9"/>
        <v>0</v>
      </c>
      <c r="AG18" s="134"/>
      <c r="AH18" s="134"/>
      <c r="AI18" s="134"/>
      <c r="AJ18" s="134"/>
      <c r="AK18" s="111">
        <f>ROW()</f>
        <v>18</v>
      </c>
      <c r="AL18" s="633" t="s">
        <v>1008</v>
      </c>
      <c r="AM18" s="179"/>
      <c r="AN18" s="180">
        <f>AO18</f>
        <v>3.1019277660459078E-2</v>
      </c>
      <c r="AO18" s="180">
        <f>AO20/AO16</f>
        <v>3.1019277660459078E-2</v>
      </c>
      <c r="AP18" s="180">
        <f>AO18</f>
        <v>3.1019277660459078E-2</v>
      </c>
      <c r="AQ18" s="180">
        <f>AQ20/AQ16</f>
        <v>0.43139575372241279</v>
      </c>
      <c r="AR18" s="180">
        <f>AQ18</f>
        <v>0.43139575372241279</v>
      </c>
      <c r="AS18" s="180"/>
      <c r="AT18" s="180"/>
      <c r="AU18" s="180"/>
      <c r="AV18" s="180"/>
      <c r="AW18" s="180"/>
      <c r="AX18" s="180"/>
      <c r="AY18" s="180"/>
      <c r="AZ18" s="180"/>
      <c r="BA18" s="180"/>
      <c r="BB18" s="180"/>
      <c r="BC18" s="111">
        <f>ROW()</f>
        <v>18</v>
      </c>
      <c r="BD18" s="112" t="s">
        <v>903</v>
      </c>
      <c r="BF18" s="1053"/>
      <c r="BG18" s="134">
        <v>-7676440.0734100007</v>
      </c>
      <c r="BH18" s="134">
        <f>SUM(BF18:BG18)</f>
        <v>-7676440.0734100007</v>
      </c>
      <c r="BI18" s="134">
        <v>41986.914588788524</v>
      </c>
      <c r="BJ18" s="134">
        <f>SUM(BH18:BI18)</f>
        <v>-7634453.1588212121</v>
      </c>
      <c r="BK18" s="134">
        <v>339743.54992180225</v>
      </c>
      <c r="BL18" s="134">
        <f>SUM(BJ18:BK18)</f>
        <v>-7294709.6088994099</v>
      </c>
      <c r="BM18" s="134">
        <v>-4189435.3342978889</v>
      </c>
      <c r="BN18" s="134">
        <f>SUM(BL18:BM18)</f>
        <v>-11484144.943197299</v>
      </c>
      <c r="BO18" s="134">
        <v>-133408.29450231604</v>
      </c>
      <c r="BP18" s="134">
        <f>SUM(BN18:BO18)</f>
        <v>-11617553.237699615</v>
      </c>
      <c r="BQ18" s="134"/>
      <c r="BR18" s="134"/>
      <c r="BS18" s="134"/>
      <c r="BT18" s="134"/>
      <c r="BU18" s="111">
        <f>ROW()</f>
        <v>18</v>
      </c>
      <c r="BV18" s="1" t="s">
        <v>907</v>
      </c>
      <c r="BX18" s="114"/>
      <c r="BY18" s="114"/>
      <c r="BZ18" s="114"/>
      <c r="CA18" s="114"/>
      <c r="CB18" s="114"/>
      <c r="CC18" s="114"/>
      <c r="CD18" s="114"/>
      <c r="CE18" s="114"/>
      <c r="CF18" s="114"/>
      <c r="CG18" s="114"/>
      <c r="CH18" s="114"/>
      <c r="CI18" s="114"/>
      <c r="CJ18" s="114"/>
      <c r="CK18" s="114"/>
      <c r="CL18" s="114"/>
      <c r="CM18" s="111">
        <f>ROW()</f>
        <v>18</v>
      </c>
      <c r="CN18" s="111"/>
      <c r="CO18" s="111"/>
      <c r="CP18" s="640"/>
      <c r="CQ18" s="360"/>
      <c r="CR18" s="360"/>
      <c r="CS18" s="360"/>
      <c r="CT18" s="360"/>
      <c r="CU18" s="360"/>
      <c r="CV18" s="360"/>
      <c r="CW18" s="360"/>
      <c r="CX18" s="360"/>
      <c r="CY18" s="360"/>
      <c r="CZ18" s="360"/>
      <c r="DA18" s="360"/>
      <c r="DB18" s="360"/>
      <c r="DC18" s="360"/>
      <c r="DD18" s="360"/>
      <c r="DE18" s="111">
        <f>ROW()</f>
        <v>18</v>
      </c>
      <c r="DF18" s="112" t="s">
        <v>1114</v>
      </c>
      <c r="DG18" s="112"/>
      <c r="DH18" s="639">
        <v>1096830.98857</v>
      </c>
      <c r="DI18" s="639">
        <v>232169.01142999995</v>
      </c>
      <c r="DJ18" s="639">
        <f>DH18+DI18</f>
        <v>1329000</v>
      </c>
      <c r="DK18" s="639"/>
      <c r="DL18" s="639">
        <f>SUM(DJ18:DK18)</f>
        <v>1329000</v>
      </c>
      <c r="DM18" s="639"/>
      <c r="DN18" s="639">
        <f>SUM(DL18:DM18)</f>
        <v>1329000</v>
      </c>
      <c r="DO18" s="639">
        <v>0</v>
      </c>
      <c r="DP18" s="639">
        <f>SUM(DN18:DO18)</f>
        <v>1329000</v>
      </c>
      <c r="DQ18" s="639"/>
      <c r="DR18" s="639">
        <f>SUM(DP18:DQ18)</f>
        <v>1329000</v>
      </c>
      <c r="DS18" s="639"/>
      <c r="DT18" s="639"/>
      <c r="DU18" s="639"/>
      <c r="DV18" s="639"/>
      <c r="DW18" s="111">
        <f>ROW()</f>
        <v>18</v>
      </c>
      <c r="DX18" s="167"/>
      <c r="DY18" s="167"/>
      <c r="DZ18" s="121"/>
      <c r="EA18" s="134"/>
      <c r="EB18" s="134"/>
      <c r="EC18" s="134"/>
      <c r="ED18" s="1"/>
      <c r="EE18" s="134"/>
      <c r="EF18" s="1"/>
      <c r="EG18" s="134"/>
      <c r="EH18" s="1"/>
      <c r="EI18" s="134"/>
      <c r="EJ18" s="1"/>
      <c r="EK18" s="1"/>
      <c r="EL18" s="1"/>
      <c r="EM18" s="134"/>
      <c r="EN18" s="1"/>
      <c r="EO18" s="111">
        <f>ROW()</f>
        <v>18</v>
      </c>
      <c r="EP18" s="238" t="s">
        <v>225</v>
      </c>
      <c r="EQ18" s="112"/>
      <c r="ER18" s="184">
        <v>4017464.5898025599</v>
      </c>
      <c r="ES18" s="184">
        <f>ET18-ER18</f>
        <v>-21724.014892320149</v>
      </c>
      <c r="ET18" s="170">
        <v>3995740.5749102398</v>
      </c>
      <c r="EU18" s="184">
        <f>EV18-ET18</f>
        <v>179899.56175775966</v>
      </c>
      <c r="EV18" s="170">
        <v>4175640.1366679994</v>
      </c>
      <c r="EW18" s="184"/>
      <c r="EX18" s="170">
        <f>SUM(EV18:EW18)</f>
        <v>4175640.1366679994</v>
      </c>
      <c r="EY18" s="184"/>
      <c r="EZ18" s="170">
        <f>SUM(EX18:EY18)</f>
        <v>4175640.1366679994</v>
      </c>
      <c r="FA18" s="184"/>
      <c r="FB18" s="170">
        <f>SUM(EZ18:FA18)</f>
        <v>4175640.1366679994</v>
      </c>
      <c r="FC18" s="170"/>
      <c r="FD18" s="170"/>
      <c r="FE18" s="184"/>
      <c r="FF18" s="170"/>
      <c r="FG18" s="111">
        <f>ROW()</f>
        <v>18</v>
      </c>
      <c r="FH18" s="1" t="s">
        <v>222</v>
      </c>
      <c r="FI18" s="114"/>
      <c r="FJ18" s="638">
        <f t="shared" ref="FJ18:FT18" si="29">SUM(FJ16:FJ17)</f>
        <v>445050.02114780352</v>
      </c>
      <c r="FK18" s="638">
        <f t="shared" si="29"/>
        <v>-24042.600429258582</v>
      </c>
      <c r="FL18" s="638">
        <f t="shared" si="29"/>
        <v>421007.42071854492</v>
      </c>
      <c r="FM18" s="638">
        <f t="shared" si="29"/>
        <v>0</v>
      </c>
      <c r="FN18" s="638">
        <f t="shared" si="29"/>
        <v>421007.42071854492</v>
      </c>
      <c r="FO18" s="638">
        <f t="shared" si="29"/>
        <v>0</v>
      </c>
      <c r="FP18" s="638">
        <f t="shared" si="29"/>
        <v>421007.42071854492</v>
      </c>
      <c r="FQ18" s="638">
        <f t="shared" si="29"/>
        <v>0</v>
      </c>
      <c r="FR18" s="638">
        <f t="shared" si="29"/>
        <v>421007.42071854492</v>
      </c>
      <c r="FS18" s="638">
        <f t="shared" si="29"/>
        <v>0</v>
      </c>
      <c r="FT18" s="638">
        <f t="shared" si="29"/>
        <v>421007.42071854492</v>
      </c>
      <c r="FU18" s="638"/>
      <c r="FV18" s="638"/>
      <c r="FW18" s="638"/>
      <c r="FX18" s="638"/>
      <c r="FY18" s="111">
        <f>ROW()</f>
        <v>18</v>
      </c>
      <c r="FZ18" s="249" t="s">
        <v>1006</v>
      </c>
      <c r="GB18" s="134">
        <v>187211.80289040346</v>
      </c>
      <c r="GC18" s="134">
        <v>-58717.905080501165</v>
      </c>
      <c r="GD18" s="134">
        <f t="shared" si="11"/>
        <v>128493.89780990229</v>
      </c>
      <c r="GE18" s="134">
        <v>10088.234782643995</v>
      </c>
      <c r="GF18" s="134">
        <f t="shared" si="12"/>
        <v>138582.13259254629</v>
      </c>
      <c r="GG18" s="134">
        <v>4423.7520945941797</v>
      </c>
      <c r="GH18" s="134">
        <f t="shared" si="13"/>
        <v>143005.88468714047</v>
      </c>
      <c r="GI18" s="134">
        <v>1049.3838695710001</v>
      </c>
      <c r="GJ18" s="134">
        <f t="shared" si="14"/>
        <v>144055.26855671147</v>
      </c>
      <c r="GK18" s="134">
        <v>83.024733155296417</v>
      </c>
      <c r="GL18" s="134">
        <f t="shared" si="15"/>
        <v>144138.29328986676</v>
      </c>
      <c r="GM18" s="134"/>
      <c r="GN18" s="134"/>
      <c r="GO18" s="134"/>
      <c r="GP18" s="134"/>
      <c r="GQ18" s="111">
        <f>ROW()</f>
        <v>18</v>
      </c>
      <c r="GS18" s="182"/>
      <c r="GT18" s="114"/>
      <c r="GU18" s="114"/>
      <c r="GV18" s="170"/>
      <c r="GW18" s="114"/>
      <c r="GX18" s="170"/>
      <c r="GY18" s="114"/>
      <c r="GZ18" s="170"/>
      <c r="HA18" s="114"/>
      <c r="HB18" s="170"/>
      <c r="HC18" s="114"/>
      <c r="HD18" s="170"/>
      <c r="HE18" s="114"/>
      <c r="HF18" s="170"/>
      <c r="HG18" s="114"/>
      <c r="HH18" s="170"/>
      <c r="HI18" s="111">
        <f>ROW()</f>
        <v>18</v>
      </c>
      <c r="HJ18" s="1" t="s">
        <v>224</v>
      </c>
      <c r="HL18" s="384">
        <f t="shared" ref="HL18:HV18" si="30">-SUM(HL16:HL17)</f>
        <v>0</v>
      </c>
      <c r="HM18" s="384">
        <f t="shared" si="30"/>
        <v>-30503.742766919091</v>
      </c>
      <c r="HN18" s="384">
        <f t="shared" si="30"/>
        <v>-30503.742766919091</v>
      </c>
      <c r="HO18" s="384">
        <f t="shared" si="30"/>
        <v>0</v>
      </c>
      <c r="HP18" s="384">
        <f t="shared" si="30"/>
        <v>-30503.742766919091</v>
      </c>
      <c r="HQ18" s="384">
        <f t="shared" si="30"/>
        <v>0</v>
      </c>
      <c r="HR18" s="384">
        <f t="shared" si="30"/>
        <v>-30503.742766919091</v>
      </c>
      <c r="HS18" s="384">
        <f t="shared" si="30"/>
        <v>0</v>
      </c>
      <c r="HT18" s="384">
        <f t="shared" si="30"/>
        <v>-30503.742766919091</v>
      </c>
      <c r="HU18" s="384">
        <f t="shared" si="30"/>
        <v>0</v>
      </c>
      <c r="HV18" s="384">
        <f t="shared" si="30"/>
        <v>-30503.742766919091</v>
      </c>
      <c r="HW18" s="384"/>
      <c r="HX18" s="384"/>
      <c r="HY18" s="384"/>
      <c r="HZ18" s="384"/>
      <c r="IA18" s="111">
        <f>ROW()</f>
        <v>18</v>
      </c>
      <c r="IB18" s="112" t="s">
        <v>214</v>
      </c>
      <c r="IC18" s="168"/>
      <c r="ID18" s="114">
        <f t="shared" ref="ID18:IN18" si="31">SUM(ID16:ID17)</f>
        <v>3838753.1648775996</v>
      </c>
      <c r="IE18" s="114">
        <f t="shared" si="31"/>
        <v>550639.31938240037</v>
      </c>
      <c r="IF18" s="114">
        <f t="shared" si="31"/>
        <v>4389392.4842600003</v>
      </c>
      <c r="IG18" s="114">
        <f t="shared" si="31"/>
        <v>0</v>
      </c>
      <c r="IH18" s="114">
        <f t="shared" si="31"/>
        <v>4389392.4842600003</v>
      </c>
      <c r="II18" s="114">
        <f t="shared" si="31"/>
        <v>0</v>
      </c>
      <c r="IJ18" s="114">
        <f t="shared" si="31"/>
        <v>4389392.4842600003</v>
      </c>
      <c r="IK18" s="114">
        <f t="shared" si="31"/>
        <v>0</v>
      </c>
      <c r="IL18" s="114">
        <f t="shared" si="31"/>
        <v>4389392.4842600003</v>
      </c>
      <c r="IM18" s="114">
        <f t="shared" si="31"/>
        <v>0</v>
      </c>
      <c r="IN18" s="114">
        <f t="shared" si="31"/>
        <v>4389392.4842600003</v>
      </c>
      <c r="IO18" s="114"/>
      <c r="IP18" s="114"/>
      <c r="IQ18" s="114"/>
      <c r="IR18" s="114"/>
      <c r="IS18" s="111">
        <f>ROW()</f>
        <v>18</v>
      </c>
      <c r="IT18" s="175" t="s">
        <v>1007</v>
      </c>
      <c r="IV18" s="358">
        <v>923313.29999999981</v>
      </c>
      <c r="IW18" s="358">
        <v>984867.936666667</v>
      </c>
      <c r="IX18" s="358">
        <f>SUM(IV18:IW18)</f>
        <v>1908181.2366666668</v>
      </c>
      <c r="IY18" s="358"/>
      <c r="IZ18" s="358">
        <f>SUM(IX18:IY18)</f>
        <v>1908181.2366666668</v>
      </c>
      <c r="JA18" s="358"/>
      <c r="JB18" s="358">
        <f>SUM(IZ18:JA18)</f>
        <v>1908181.2366666668</v>
      </c>
      <c r="JC18" s="134"/>
      <c r="JD18" s="134">
        <f>SUM(JB18:JC18)</f>
        <v>1908181.2366666668</v>
      </c>
      <c r="JE18" s="134">
        <v>-1877404.0336111076</v>
      </c>
      <c r="JF18" s="134">
        <f>SUM(JD18:JE18)</f>
        <v>30777.203055559192</v>
      </c>
      <c r="JG18" s="134"/>
      <c r="JH18" s="134"/>
      <c r="JI18" s="134"/>
      <c r="JJ18" s="134"/>
      <c r="JK18" s="111">
        <f>ROW()</f>
        <v>18</v>
      </c>
      <c r="JL18" s="112" t="s">
        <v>223</v>
      </c>
      <c r="JM18" s="112"/>
      <c r="JN18" s="165">
        <f>JN16</f>
        <v>100836.95771756492</v>
      </c>
      <c r="JO18" s="165">
        <f>JO16</f>
        <v>-16580.372792206952</v>
      </c>
      <c r="JP18" s="165">
        <f>SUM(JP16:JP17)</f>
        <v>84256.584925357965</v>
      </c>
      <c r="JQ18" s="165">
        <f>SUM(JQ16:JQ17)</f>
        <v>0</v>
      </c>
      <c r="JR18" s="165">
        <f>SUM(JR16:JR17)</f>
        <v>84256.584925357965</v>
      </c>
      <c r="JS18" s="165"/>
      <c r="JT18" s="165">
        <f>SUM(JT16:JT17)</f>
        <v>84256.584925357965</v>
      </c>
      <c r="JU18" s="165"/>
      <c r="JV18" s="165">
        <f>SUM(JV16:JV17)</f>
        <v>84256.584925357965</v>
      </c>
      <c r="JW18" s="165"/>
      <c r="JX18" s="165">
        <f>SUM(JX16:JX17)</f>
        <v>84256.584925357965</v>
      </c>
      <c r="JY18" s="165"/>
      <c r="JZ18" s="165"/>
      <c r="KA18" s="165"/>
      <c r="KB18" s="165"/>
      <c r="KC18" s="111">
        <f>ROW()</f>
        <v>18</v>
      </c>
      <c r="KD18" s="112"/>
      <c r="KE18" s="112"/>
      <c r="KU18" s="111">
        <f>ROW()</f>
        <v>18</v>
      </c>
      <c r="KV18" s="249" t="s">
        <v>1006</v>
      </c>
      <c r="KW18" s="232"/>
      <c r="KX18" s="134">
        <v>2705621.8334966791</v>
      </c>
      <c r="KY18" s="134">
        <v>188279.92490260024</v>
      </c>
      <c r="KZ18" s="181">
        <f t="shared" si="21"/>
        <v>2893901.7583992793</v>
      </c>
      <c r="LA18" s="134">
        <v>0</v>
      </c>
      <c r="LB18" s="181">
        <f t="shared" si="22"/>
        <v>2893901.7583992793</v>
      </c>
      <c r="LC18" s="134">
        <v>0</v>
      </c>
      <c r="LD18" s="181">
        <f t="shared" si="23"/>
        <v>2893901.7583992793</v>
      </c>
      <c r="LE18" s="134">
        <v>0</v>
      </c>
      <c r="LF18" s="181">
        <f t="shared" si="24"/>
        <v>2893901.7583992793</v>
      </c>
      <c r="LG18" s="134">
        <v>0</v>
      </c>
      <c r="LH18" s="181">
        <f t="shared" si="25"/>
        <v>2893901.7583992793</v>
      </c>
      <c r="LI18" s="134">
        <v>0</v>
      </c>
      <c r="LJ18" s="181"/>
      <c r="LK18" s="134">
        <v>0</v>
      </c>
      <c r="LL18" s="181">
        <f t="shared" si="25"/>
        <v>0</v>
      </c>
      <c r="LM18" s="111">
        <f>ROW()</f>
        <v>18</v>
      </c>
      <c r="LN18" s="1" t="s">
        <v>127</v>
      </c>
      <c r="LP18" s="191">
        <v>18088017.405854166</v>
      </c>
      <c r="LQ18" s="191">
        <v>-1424002.515854165</v>
      </c>
      <c r="LR18" s="121">
        <f t="shared" si="0"/>
        <v>16664014.890000001</v>
      </c>
      <c r="LS18" s="121"/>
      <c r="LT18" s="121">
        <f t="shared" si="1"/>
        <v>16664014.890000001</v>
      </c>
      <c r="LU18" s="121"/>
      <c r="LV18" s="121">
        <f t="shared" si="2"/>
        <v>16664014.890000001</v>
      </c>
      <c r="LW18" s="121"/>
      <c r="LX18" s="121">
        <f t="shared" si="3"/>
        <v>16664014.890000001</v>
      </c>
      <c r="LY18" s="121"/>
      <c r="LZ18" s="121">
        <f t="shared" si="4"/>
        <v>16664014.890000001</v>
      </c>
      <c r="MA18" s="121"/>
      <c r="MB18" s="121"/>
      <c r="MC18" s="121"/>
      <c r="MD18" s="121">
        <f t="shared" si="4"/>
        <v>0</v>
      </c>
      <c r="ME18" s="111">
        <f>ROW()</f>
        <v>18</v>
      </c>
      <c r="MF18" s="117" t="s">
        <v>322</v>
      </c>
      <c r="MH18" s="121">
        <v>3825645.8</v>
      </c>
      <c r="MI18" s="121">
        <v>-83398.040000000503</v>
      </c>
      <c r="MJ18" s="121">
        <f t="shared" si="26"/>
        <v>3742247.7599999993</v>
      </c>
      <c r="MK18" s="121">
        <v>0</v>
      </c>
      <c r="ML18" s="121">
        <f>MJ18+MK18</f>
        <v>3742247.7599999993</v>
      </c>
      <c r="MM18" s="121"/>
      <c r="MN18" s="121">
        <f>ML18+MM18</f>
        <v>3742247.7599999993</v>
      </c>
      <c r="MO18" s="121"/>
      <c r="MP18" s="121">
        <f>MN18+MO18</f>
        <v>3742247.7599999993</v>
      </c>
      <c r="MQ18" s="121"/>
      <c r="MR18" s="121">
        <f>MP18+MQ18</f>
        <v>3742247.7599999993</v>
      </c>
      <c r="MS18" s="121"/>
      <c r="MT18" s="121"/>
      <c r="MU18" s="121"/>
      <c r="MV18" s="121"/>
      <c r="MW18" s="111">
        <f>ROW()</f>
        <v>18</v>
      </c>
      <c r="MX18" s="634" t="s">
        <v>867</v>
      </c>
      <c r="MZ18" s="114">
        <f t="shared" ref="MZ18:ND18" si="32">SUM(MZ17)</f>
        <v>5299162.91</v>
      </c>
      <c r="NA18" s="114">
        <f t="shared" si="32"/>
        <v>-18253.489559999667</v>
      </c>
      <c r="NB18" s="114">
        <f t="shared" si="32"/>
        <v>5280909.4204400005</v>
      </c>
      <c r="NC18" s="114">
        <f t="shared" si="32"/>
        <v>0</v>
      </c>
      <c r="ND18" s="114">
        <f t="shared" si="32"/>
        <v>5280909.4204400005</v>
      </c>
      <c r="NE18" s="114">
        <f t="shared" ref="NE18:NN18" si="33">SUM(NE17)</f>
        <v>0</v>
      </c>
      <c r="NF18" s="114">
        <f t="shared" si="33"/>
        <v>5280909.4204400005</v>
      </c>
      <c r="NG18" s="114">
        <f t="shared" si="33"/>
        <v>0</v>
      </c>
      <c r="NH18" s="114">
        <f t="shared" si="33"/>
        <v>5280909.4204400005</v>
      </c>
      <c r="NI18" s="114">
        <f t="shared" si="33"/>
        <v>0</v>
      </c>
      <c r="NJ18" s="114">
        <f t="shared" si="33"/>
        <v>5280909.4204400005</v>
      </c>
      <c r="NK18" s="114">
        <f t="shared" si="33"/>
        <v>0</v>
      </c>
      <c r="NL18" s="114">
        <f t="shared" si="33"/>
        <v>0</v>
      </c>
      <c r="NM18" s="114">
        <f t="shared" si="33"/>
        <v>0</v>
      </c>
      <c r="NN18" s="114">
        <f t="shared" si="33"/>
        <v>0</v>
      </c>
      <c r="NO18" s="111">
        <f>ROW()</f>
        <v>18</v>
      </c>
      <c r="NP18" s="112" t="s">
        <v>61</v>
      </c>
      <c r="NR18" s="189"/>
      <c r="NS18" s="189"/>
      <c r="NT18" s="189"/>
      <c r="NU18" s="189"/>
      <c r="NV18" s="189"/>
      <c r="NW18" s="189"/>
      <c r="NX18" s="189">
        <f>'Summary DPK-7 '!I32</f>
        <v>64491416.290939584</v>
      </c>
      <c r="NY18" s="889">
        <f>'O&amp;M'!L156</f>
        <v>24179953.99166318</v>
      </c>
      <c r="NZ18" s="189">
        <f t="shared" si="27"/>
        <v>88671370.282602757</v>
      </c>
      <c r="OA18" s="889">
        <f>'O&amp;M'!M156</f>
        <v>-1042502.3166014254</v>
      </c>
      <c r="OB18" s="189">
        <f t="shared" si="28"/>
        <v>87628867.966001332</v>
      </c>
      <c r="OC18" s="717"/>
      <c r="OD18" s="717"/>
      <c r="OE18" s="717"/>
      <c r="OF18" s="717"/>
      <c r="OG18" s="111">
        <f>ROW()</f>
        <v>18</v>
      </c>
      <c r="OH18" s="121" t="s">
        <v>1005</v>
      </c>
      <c r="OI18" s="121"/>
      <c r="OJ18" s="365">
        <v>40083865.243799999</v>
      </c>
      <c r="OK18" s="365">
        <f>OL18-OJ18</f>
        <v>0</v>
      </c>
      <c r="OL18" s="365">
        <v>40083865.243799999</v>
      </c>
      <c r="OM18" s="365">
        <f>ON18-OL18</f>
        <v>-40083865.243799999</v>
      </c>
      <c r="ON18" s="365">
        <v>0</v>
      </c>
      <c r="OO18" s="375"/>
      <c r="OP18" s="365"/>
      <c r="OQ18" s="375"/>
      <c r="OR18" s="375"/>
      <c r="OS18" s="375"/>
      <c r="OT18" s="376"/>
      <c r="OU18" s="376"/>
      <c r="OV18" s="376"/>
      <c r="OW18" s="376"/>
      <c r="OX18" s="376"/>
      <c r="OY18" s="111">
        <f>ROW()</f>
        <v>18</v>
      </c>
      <c r="OZ18" s="163" t="s">
        <v>968</v>
      </c>
      <c r="PA18" s="172"/>
      <c r="PB18" s="114">
        <v>95418214.399999991</v>
      </c>
      <c r="PC18" s="786">
        <v>-61435470.444692738</v>
      </c>
      <c r="PD18" s="114">
        <f>SUM(PB18:PC18)</f>
        <v>33982743.955307253</v>
      </c>
      <c r="PE18" s="786">
        <v>61435470.444692738</v>
      </c>
      <c r="PF18" s="405">
        <f>SUM(PD18:PE18)</f>
        <v>95418214.399999991</v>
      </c>
      <c r="PG18" s="786">
        <v>0</v>
      </c>
      <c r="PH18" s="405">
        <f>SUM(PF18:PG18)</f>
        <v>95418214.399999991</v>
      </c>
      <c r="PI18" s="786">
        <v>0</v>
      </c>
      <c r="PJ18" s="419">
        <f>SUM(PH18:PI18)</f>
        <v>95418214.399999991</v>
      </c>
      <c r="PK18" s="786">
        <v>0</v>
      </c>
      <c r="PL18" s="419">
        <f>SUM(PJ18:PK18)</f>
        <v>95418214.399999991</v>
      </c>
      <c r="PM18" s="603"/>
      <c r="PN18" s="603"/>
      <c r="PO18" s="114"/>
      <c r="PP18" s="114"/>
      <c r="PQ18" s="111">
        <f>ROW()</f>
        <v>18</v>
      </c>
      <c r="PR18" s="919" t="s">
        <v>226</v>
      </c>
      <c r="PS18" s="163"/>
      <c r="PT18" s="114">
        <f>PT17</f>
        <v>5387522.0899999971</v>
      </c>
      <c r="PU18" s="114">
        <f t="shared" ref="PU18:QD18" si="34">PU17</f>
        <v>338867.23404892068</v>
      </c>
      <c r="PV18" s="114">
        <f t="shared" si="34"/>
        <v>5726389.3240489177</v>
      </c>
      <c r="PW18" s="114">
        <f t="shared" si="34"/>
        <v>-10589.577548920177</v>
      </c>
      <c r="PX18" s="114">
        <f t="shared" si="34"/>
        <v>5715799.7464999976</v>
      </c>
      <c r="PY18" s="114">
        <f t="shared" si="34"/>
        <v>10589.591500000097</v>
      </c>
      <c r="PZ18" s="114">
        <f t="shared" si="34"/>
        <v>5726389.3379999977</v>
      </c>
      <c r="QA18" s="114">
        <f t="shared" si="34"/>
        <v>-1729712.4673011312</v>
      </c>
      <c r="QB18" s="114">
        <f t="shared" si="34"/>
        <v>3996676.8706988664</v>
      </c>
      <c r="QC18" s="114">
        <f t="shared" si="34"/>
        <v>-1789107.5335728293</v>
      </c>
      <c r="QD18" s="114">
        <f t="shared" si="34"/>
        <v>2207569.3371260371</v>
      </c>
      <c r="QE18" s="114">
        <f t="shared" ref="QE18" si="35">QE17</f>
        <v>0</v>
      </c>
      <c r="QF18" s="114">
        <f t="shared" ref="QF18" si="36">QF17</f>
        <v>0</v>
      </c>
      <c r="QG18" s="114">
        <f t="shared" ref="QG18" si="37">QG17</f>
        <v>0</v>
      </c>
      <c r="QH18" s="114">
        <f t="shared" ref="QH18" si="38">QH17</f>
        <v>0</v>
      </c>
      <c r="QJ18" s="336">
        <f>ROW()</f>
        <v>18</v>
      </c>
      <c r="QK18" s="1" t="s">
        <v>910</v>
      </c>
      <c r="QL18" s="329"/>
      <c r="QM18" s="322"/>
      <c r="QN18" s="322"/>
      <c r="QO18" s="134">
        <f>QM18+QN18</f>
        <v>0</v>
      </c>
      <c r="QP18" s="134">
        <v>4692533.0386116672</v>
      </c>
      <c r="QQ18" s="134">
        <f>QO18+QP18</f>
        <v>4692533.0386116672</v>
      </c>
      <c r="QR18" s="134">
        <v>24880223.598138332</v>
      </c>
      <c r="QS18" s="134">
        <f>QQ18+QR18</f>
        <v>29572756.636749998</v>
      </c>
      <c r="QT18" s="134">
        <v>7243194.7537397146</v>
      </c>
      <c r="QU18" s="134">
        <f>QS18+QT18</f>
        <v>36815951.390489712</v>
      </c>
      <c r="QV18" s="134">
        <v>132706230.10262708</v>
      </c>
      <c r="QW18" s="134">
        <f>QU18+QV18</f>
        <v>169522181.4931168</v>
      </c>
      <c r="QX18" s="134"/>
      <c r="QY18" s="134"/>
      <c r="QZ18" s="134"/>
      <c r="RA18" s="134"/>
      <c r="RB18" s="336">
        <f>ROW()</f>
        <v>18</v>
      </c>
      <c r="RC18" s="329" t="s">
        <v>963</v>
      </c>
      <c r="RD18" s="329"/>
      <c r="RE18" s="337"/>
      <c r="RF18" s="337"/>
      <c r="RG18" s="356">
        <v>0</v>
      </c>
      <c r="RH18" s="356">
        <f>RI18-RG18</f>
        <v>0</v>
      </c>
      <c r="RI18" s="265">
        <v>0</v>
      </c>
      <c r="RJ18" s="356">
        <f>RK18-RI18</f>
        <v>0</v>
      </c>
      <c r="RK18" s="265">
        <v>0</v>
      </c>
      <c r="RL18" s="356">
        <f>RM18-RK18</f>
        <v>0</v>
      </c>
      <c r="RM18" s="265">
        <v>0</v>
      </c>
      <c r="RN18" s="356">
        <f>RO18-RM18</f>
        <v>0</v>
      </c>
      <c r="RO18" s="265">
        <v>0</v>
      </c>
      <c r="RP18" s="265"/>
      <c r="RQ18" s="265"/>
      <c r="RR18" s="356"/>
      <c r="RS18" s="265"/>
      <c r="RT18" s="345">
        <f>ROW()</f>
        <v>18</v>
      </c>
      <c r="RU18" s="341" t="s">
        <v>962</v>
      </c>
      <c r="RV18" s="241"/>
      <c r="RW18" s="366"/>
      <c r="RX18" s="366"/>
      <c r="RY18" s="366"/>
      <c r="RZ18" s="265">
        <v>0</v>
      </c>
      <c r="SA18" s="265">
        <f>RZ18+RY18</f>
        <v>0</v>
      </c>
      <c r="SB18" s="265">
        <v>0</v>
      </c>
      <c r="SC18" s="265">
        <f>SB18+SA18</f>
        <v>0</v>
      </c>
      <c r="SD18" s="265">
        <v>0</v>
      </c>
      <c r="SE18" s="265">
        <f>SD18+SC18</f>
        <v>0</v>
      </c>
      <c r="SF18" s="265">
        <v>0</v>
      </c>
      <c r="SG18" s="265">
        <f>SF18+SE18</f>
        <v>0</v>
      </c>
      <c r="SH18" s="265"/>
      <c r="SI18" s="265"/>
      <c r="SJ18" s="265"/>
      <c r="SK18" s="265"/>
      <c r="SL18" s="336">
        <f>ROW()</f>
        <v>18</v>
      </c>
      <c r="SM18" s="329" t="s">
        <v>962</v>
      </c>
      <c r="SN18" s="338"/>
      <c r="SO18" s="265"/>
      <c r="SP18" s="265"/>
      <c r="SQ18" s="265"/>
      <c r="SR18" s="265">
        <v>12.2</v>
      </c>
      <c r="SS18" s="356">
        <f>SR18</f>
        <v>12.2</v>
      </c>
      <c r="ST18" s="265">
        <v>35045.53</v>
      </c>
      <c r="SU18" s="356">
        <f>ST18+SS18</f>
        <v>35057.729999999996</v>
      </c>
      <c r="SV18" s="356">
        <v>872281.72</v>
      </c>
      <c r="SW18" s="356">
        <f>SV18+SU18</f>
        <v>907339.45</v>
      </c>
      <c r="SX18" s="356">
        <v>305957.90000000014</v>
      </c>
      <c r="SY18" s="356">
        <f>SX18+SW18</f>
        <v>1213297.3500000001</v>
      </c>
      <c r="SZ18" s="356"/>
      <c r="TA18" s="356"/>
      <c r="TB18" s="525"/>
      <c r="TC18" s="525"/>
      <c r="TE18" s="336">
        <f>ROW()</f>
        <v>18</v>
      </c>
      <c r="TF18" s="464" t="s">
        <v>1431</v>
      </c>
      <c r="TG18" s="873"/>
      <c r="TH18" s="878">
        <v>87457</v>
      </c>
      <c r="TI18" s="879">
        <v>-87457</v>
      </c>
      <c r="TJ18" s="878">
        <f>TH18+TI18</f>
        <v>0</v>
      </c>
      <c r="TK18" s="878"/>
      <c r="TL18" s="878">
        <f>TJ18+TK18</f>
        <v>0</v>
      </c>
      <c r="TM18" s="878"/>
      <c r="TN18" s="878">
        <f>TL18+TM18</f>
        <v>0</v>
      </c>
      <c r="TO18" s="878">
        <v>62000</v>
      </c>
      <c r="TP18" s="878">
        <f>TN18+TO18</f>
        <v>62000</v>
      </c>
      <c r="TQ18" s="878"/>
      <c r="TR18" s="878">
        <f>TP18+TQ18</f>
        <v>62000</v>
      </c>
      <c r="TS18"/>
      <c r="TT18"/>
      <c r="TU18"/>
      <c r="TV18"/>
      <c r="TW18"/>
      <c r="TX18" s="336">
        <f>ROW()</f>
        <v>18</v>
      </c>
      <c r="TY18" s="129"/>
      <c r="TZ18" s="129"/>
      <c r="UA18" s="177">
        <v>0</v>
      </c>
      <c r="UB18" s="177">
        <f t="shared" ref="UB18" si="39">-UA18</f>
        <v>0</v>
      </c>
      <c r="UC18" s="177"/>
      <c r="UD18" s="177"/>
      <c r="UE18" s="177"/>
      <c r="UF18" s="177"/>
      <c r="UG18" s="177"/>
      <c r="UH18" s="177"/>
      <c r="UI18" s="177"/>
      <c r="UJ18" s="177"/>
      <c r="UK18" s="177"/>
      <c r="UL18" s="177"/>
      <c r="UM18" s="177"/>
      <c r="UN18" s="177"/>
      <c r="UO18" s="177"/>
      <c r="UQ18" s="345">
        <f>ROW()</f>
        <v>18</v>
      </c>
      <c r="UR18" s="837"/>
      <c r="US18" s="837"/>
      <c r="UT18" s="837"/>
      <c r="UU18" s="837"/>
      <c r="UV18" s="837"/>
      <c r="UW18" s="837"/>
      <c r="UX18" s="837"/>
      <c r="UY18" s="837"/>
      <c r="UZ18" s="837"/>
      <c r="VA18" s="837"/>
      <c r="VB18" s="837"/>
      <c r="VC18" s="837"/>
      <c r="VD18" s="837"/>
      <c r="VJ18" s="345">
        <f>ROW()</f>
        <v>18</v>
      </c>
      <c r="VY18" s="345">
        <f>ROW()</f>
        <v>18</v>
      </c>
      <c r="VZ18" s="241" t="s">
        <v>1474</v>
      </c>
      <c r="WB18" s="993">
        <f>SUM(WB16:WB16)</f>
        <v>0</v>
      </c>
      <c r="WC18" s="993">
        <f t="shared" ref="WC18:WL18" si="40">SUM(WC16:WC16)</f>
        <v>0</v>
      </c>
      <c r="WD18" s="993">
        <f t="shared" si="40"/>
        <v>0</v>
      </c>
      <c r="WE18" s="993">
        <f t="shared" si="40"/>
        <v>0</v>
      </c>
      <c r="WF18" s="993">
        <f t="shared" si="40"/>
        <v>0</v>
      </c>
      <c r="WG18" s="993">
        <f t="shared" si="40"/>
        <v>0</v>
      </c>
      <c r="WH18" s="993">
        <f t="shared" si="40"/>
        <v>0</v>
      </c>
      <c r="WI18" s="993">
        <f t="shared" si="40"/>
        <v>403758.88800190948</v>
      </c>
      <c r="WJ18" s="993">
        <f t="shared" si="40"/>
        <v>403758.88800190948</v>
      </c>
      <c r="WK18" s="993">
        <f t="shared" si="40"/>
        <v>14131.56108006672</v>
      </c>
      <c r="WL18" s="993">
        <f t="shared" si="40"/>
        <v>417890.4490819762</v>
      </c>
    </row>
    <row r="19" spans="1:610" ht="16" thickTop="1" x14ac:dyDescent="0.35">
      <c r="A19" s="111">
        <f>ROW()</f>
        <v>19</v>
      </c>
      <c r="B19" t="s">
        <v>1482</v>
      </c>
      <c r="C19" s="1188" t="s">
        <v>1869</v>
      </c>
      <c r="D19" s="1189"/>
      <c r="E19" s="1189">
        <f>'GAS COS Revenues'!$D$21</f>
        <v>822488.22146331484</v>
      </c>
      <c r="F19" s="1189"/>
      <c r="G19" s="1191"/>
      <c r="H19" s="1189"/>
      <c r="I19" s="1193"/>
      <c r="J19" s="1191"/>
      <c r="K19" s="1193"/>
      <c r="L19" s="1193"/>
      <c r="M19" s="1193"/>
      <c r="N19" s="189"/>
      <c r="O19" s="189"/>
      <c r="P19" s="189"/>
      <c r="Q19" s="189"/>
      <c r="R19" s="189"/>
      <c r="S19" s="111">
        <f>ROW()</f>
        <v>19</v>
      </c>
      <c r="T19" s="238" t="s">
        <v>221</v>
      </c>
      <c r="U19" s="239"/>
      <c r="V19" s="121">
        <f t="shared" si="5"/>
        <v>21824180.434144862</v>
      </c>
      <c r="W19" s="134">
        <f>'GAS COS Revenues'!$E$15</f>
        <v>-21824180.434144862</v>
      </c>
      <c r="X19" s="134"/>
      <c r="Y19" s="134"/>
      <c r="Z19" s="134">
        <f t="shared" si="6"/>
        <v>0</v>
      </c>
      <c r="AA19" s="134"/>
      <c r="AB19" s="134">
        <f t="shared" si="7"/>
        <v>0</v>
      </c>
      <c r="AC19" s="134"/>
      <c r="AD19" s="134">
        <f t="shared" si="8"/>
        <v>0</v>
      </c>
      <c r="AE19" s="134"/>
      <c r="AF19" s="134">
        <f t="shared" si="9"/>
        <v>0</v>
      </c>
      <c r="AG19" s="134"/>
      <c r="AH19" s="134"/>
      <c r="AI19" s="134"/>
      <c r="AJ19" s="134"/>
      <c r="AK19" s="111">
        <f>ROW()</f>
        <v>19</v>
      </c>
      <c r="AL19" s="637"/>
      <c r="AM19" s="179"/>
      <c r="AN19" s="628"/>
      <c r="AO19" s="628"/>
      <c r="AP19" s="628"/>
      <c r="AQ19" s="628"/>
      <c r="AR19" s="628"/>
      <c r="AS19" s="628"/>
      <c r="AT19" s="628"/>
      <c r="AU19" s="628"/>
      <c r="AV19" s="628"/>
      <c r="AW19" s="628"/>
      <c r="AX19" s="628"/>
      <c r="AY19" s="628"/>
      <c r="AZ19" s="628"/>
      <c r="BA19" s="628"/>
      <c r="BB19" s="628"/>
      <c r="BC19" s="111">
        <f>ROW()</f>
        <v>19</v>
      </c>
      <c r="BD19" s="112" t="s">
        <v>904</v>
      </c>
      <c r="BF19" s="1053"/>
      <c r="BG19" s="134">
        <v>879452.51849000109</v>
      </c>
      <c r="BH19" s="134">
        <f>SUM(BF19:BG19)</f>
        <v>879452.51849000109</v>
      </c>
      <c r="BI19" s="134">
        <v>-175091.66624726076</v>
      </c>
      <c r="BJ19" s="134">
        <f>SUM(BH19:BI19)</f>
        <v>704360.85224274034</v>
      </c>
      <c r="BK19" s="134">
        <v>9071.2021713596769</v>
      </c>
      <c r="BL19" s="134">
        <f>SUM(BJ19:BK19)</f>
        <v>713432.05441410001</v>
      </c>
      <c r="BM19" s="134">
        <v>205149.93095352</v>
      </c>
      <c r="BN19" s="134">
        <f>SUM(BL19:BM19)</f>
        <v>918581.98536762001</v>
      </c>
      <c r="BO19" s="134">
        <v>-51190.302097619977</v>
      </c>
      <c r="BP19" s="134">
        <f>SUM(BN19:BO19)</f>
        <v>867391.68327000004</v>
      </c>
      <c r="BQ19" s="134"/>
      <c r="BR19" s="134"/>
      <c r="BS19" s="134"/>
      <c r="BT19" s="134"/>
      <c r="BU19" s="111">
        <f>ROW()</f>
        <v>19</v>
      </c>
      <c r="BX19" s="329"/>
      <c r="BY19" s="329"/>
      <c r="CA19" s="329"/>
      <c r="CC19" s="329"/>
      <c r="CD19" s="1"/>
      <c r="CE19" s="329"/>
      <c r="CF19" s="1"/>
      <c r="CG19" s="329"/>
      <c r="CH19" s="1"/>
      <c r="CI19" s="1"/>
      <c r="CJ19" s="1"/>
      <c r="CK19" s="329"/>
      <c r="CL19" s="1"/>
      <c r="CM19" s="111">
        <f>ROW()</f>
        <v>19</v>
      </c>
      <c r="CN19" s="238" t="s">
        <v>230</v>
      </c>
      <c r="CO19" s="135">
        <v>0.21</v>
      </c>
      <c r="CP19" s="178">
        <f>-$CO$19*CP17</f>
        <v>-858177.19347359997</v>
      </c>
      <c r="CQ19" s="178">
        <f>-$CO$19*CQ17</f>
        <v>56631.197287767813</v>
      </c>
      <c r="CR19" s="178">
        <f>SUM(CP19:CQ19)</f>
        <v>-801545.99618583219</v>
      </c>
      <c r="CS19" s="178"/>
      <c r="CT19" s="178">
        <f>SUM(CR19:CS19)</f>
        <v>-801545.99618583219</v>
      </c>
      <c r="CU19" s="178">
        <f>-$CO$19*CU17</f>
        <v>0</v>
      </c>
      <c r="CV19" s="178">
        <f>SUM(CT19:CU19)</f>
        <v>-801545.99618583219</v>
      </c>
      <c r="CW19" s="178"/>
      <c r="CX19" s="178">
        <f>SUM(CV19:CW19)</f>
        <v>-801545.99618583219</v>
      </c>
      <c r="CY19" s="178"/>
      <c r="CZ19" s="178">
        <f>SUM(CX19:CY19)</f>
        <v>-801545.99618583219</v>
      </c>
      <c r="DA19" s="178"/>
      <c r="DB19" s="178"/>
      <c r="DC19" s="178"/>
      <c r="DD19" s="178"/>
      <c r="DE19" s="111">
        <f>ROW()</f>
        <v>19</v>
      </c>
      <c r="DF19" s="112" t="s">
        <v>244</v>
      </c>
      <c r="DG19" s="112"/>
      <c r="DH19" s="265">
        <f t="shared" ref="DH19:DR19" si="41">SUM(DH18)</f>
        <v>1096830.98857</v>
      </c>
      <c r="DI19" s="265">
        <f t="shared" si="41"/>
        <v>232169.01142999995</v>
      </c>
      <c r="DJ19" s="265">
        <f t="shared" si="41"/>
        <v>1329000</v>
      </c>
      <c r="DK19" s="265">
        <f t="shared" si="41"/>
        <v>0</v>
      </c>
      <c r="DL19" s="265">
        <f t="shared" si="41"/>
        <v>1329000</v>
      </c>
      <c r="DM19" s="265">
        <f t="shared" si="41"/>
        <v>0</v>
      </c>
      <c r="DN19" s="265">
        <f t="shared" si="41"/>
        <v>1329000</v>
      </c>
      <c r="DO19" s="265">
        <f t="shared" si="41"/>
        <v>0</v>
      </c>
      <c r="DP19" s="265">
        <f t="shared" si="41"/>
        <v>1329000</v>
      </c>
      <c r="DQ19" s="265">
        <f t="shared" si="41"/>
        <v>0</v>
      </c>
      <c r="DR19" s="265">
        <f t="shared" si="41"/>
        <v>1329000</v>
      </c>
      <c r="DS19" s="265"/>
      <c r="DT19" s="265"/>
      <c r="DU19" s="265"/>
      <c r="DV19" s="265"/>
      <c r="DW19" s="111">
        <f>ROW()</f>
        <v>19</v>
      </c>
      <c r="DX19" s="112" t="s">
        <v>238</v>
      </c>
      <c r="DY19" s="112"/>
      <c r="DZ19" s="121">
        <f>DZ17</f>
        <v>51494328.660999998</v>
      </c>
      <c r="EA19" s="121">
        <f>EA17</f>
        <v>858.74887999892235</v>
      </c>
      <c r="EB19" s="134">
        <f>DZ19+EA19</f>
        <v>51495187.409879997</v>
      </c>
      <c r="EC19" s="121">
        <f>EC17</f>
        <v>0</v>
      </c>
      <c r="ED19" s="121">
        <f>EB19+EC19</f>
        <v>51495187.409879997</v>
      </c>
      <c r="EE19" s="121">
        <f>EE17</f>
        <v>0</v>
      </c>
      <c r="EF19" s="121">
        <f>ED19+EE19</f>
        <v>51495187.409879997</v>
      </c>
      <c r="EG19" s="121">
        <f>EG17</f>
        <v>0</v>
      </c>
      <c r="EH19" s="121">
        <f>EF19+EG19</f>
        <v>51495187.409879997</v>
      </c>
      <c r="EI19" s="121">
        <f>EI17</f>
        <v>0</v>
      </c>
      <c r="EJ19" s="121">
        <f>EH19+EI19</f>
        <v>51495187.409879997</v>
      </c>
      <c r="EK19" s="121"/>
      <c r="EL19" s="121"/>
      <c r="EM19" s="121"/>
      <c r="EN19" s="121"/>
      <c r="EO19" s="111">
        <f>ROW()</f>
        <v>19</v>
      </c>
      <c r="EP19" s="131" t="s">
        <v>232</v>
      </c>
      <c r="EQ19" s="1"/>
      <c r="ER19" s="372">
        <f t="shared" ref="ER19:FB19" si="42">SUM(ER17:ER18)</f>
        <v>13147193.508851998</v>
      </c>
      <c r="ES19" s="372">
        <f t="shared" si="42"/>
        <v>-37119.480891997926</v>
      </c>
      <c r="ET19" s="372">
        <f t="shared" si="42"/>
        <v>13110074.027960001</v>
      </c>
      <c r="EU19" s="372">
        <f t="shared" si="42"/>
        <v>553275.28453599988</v>
      </c>
      <c r="EV19" s="372">
        <f t="shared" si="42"/>
        <v>13663349.312495999</v>
      </c>
      <c r="EW19" s="372">
        <f t="shared" si="42"/>
        <v>0</v>
      </c>
      <c r="EX19" s="372">
        <f t="shared" si="42"/>
        <v>13663349.312495999</v>
      </c>
      <c r="EY19" s="372">
        <f t="shared" si="42"/>
        <v>0</v>
      </c>
      <c r="EZ19" s="372">
        <f t="shared" si="42"/>
        <v>13663349.312495999</v>
      </c>
      <c r="FA19" s="372">
        <f t="shared" si="42"/>
        <v>0</v>
      </c>
      <c r="FB19" s="372">
        <f t="shared" si="42"/>
        <v>13663349.312495999</v>
      </c>
      <c r="FC19" s="372"/>
      <c r="FD19" s="372"/>
      <c r="FE19" s="372"/>
      <c r="FF19" s="372"/>
      <c r="FG19" s="111">
        <f>ROW()</f>
        <v>19</v>
      </c>
      <c r="FH19" s="183"/>
      <c r="FI19" s="183"/>
      <c r="FJ19" s="164"/>
      <c r="FK19" s="164"/>
      <c r="FM19" s="164"/>
      <c r="FN19" s="121"/>
      <c r="FO19" s="164"/>
      <c r="FP19" s="121"/>
      <c r="FQ19" s="164"/>
      <c r="FR19" s="121"/>
      <c r="FS19" s="164"/>
      <c r="FT19" s="121"/>
      <c r="FU19" s="121"/>
      <c r="FV19" s="121"/>
      <c r="FW19" s="164"/>
      <c r="FX19" s="121"/>
      <c r="FY19" s="111">
        <f>ROW()</f>
        <v>19</v>
      </c>
      <c r="FZ19" s="249" t="s">
        <v>1004</v>
      </c>
      <c r="GB19" s="134">
        <v>126770.87291707248</v>
      </c>
      <c r="GC19" s="134">
        <v>-41245.378408091419</v>
      </c>
      <c r="GD19" s="134">
        <f t="shared" si="11"/>
        <v>85525.494508981064</v>
      </c>
      <c r="GE19" s="134">
        <v>6714.7256267747725</v>
      </c>
      <c r="GF19" s="134">
        <f t="shared" si="12"/>
        <v>92240.220135755837</v>
      </c>
      <c r="GG19" s="134">
        <v>2944.447883704488</v>
      </c>
      <c r="GH19" s="134">
        <f t="shared" si="13"/>
        <v>95184.668019460325</v>
      </c>
      <c r="GI19" s="134">
        <v>698.46954528211791</v>
      </c>
      <c r="GJ19" s="134">
        <f t="shared" si="14"/>
        <v>95883.137564742443</v>
      </c>
      <c r="GK19" s="134">
        <v>55.261234039979172</v>
      </c>
      <c r="GL19" s="134">
        <f t="shared" si="15"/>
        <v>95938.398798782422</v>
      </c>
      <c r="GM19" s="134"/>
      <c r="GN19" s="134"/>
      <c r="GO19" s="134"/>
      <c r="GP19" s="134"/>
      <c r="GQ19" s="111">
        <f>ROW()</f>
        <v>19</v>
      </c>
      <c r="GR19" s="149" t="s">
        <v>231</v>
      </c>
      <c r="GS19" s="185"/>
      <c r="HI19" s="111"/>
      <c r="HQ19" s="121"/>
      <c r="HR19" s="121"/>
      <c r="HS19" s="121"/>
      <c r="HT19" s="121"/>
      <c r="HU19" s="121"/>
      <c r="HV19" s="121"/>
      <c r="HW19" s="121"/>
      <c r="HX19" s="121"/>
      <c r="HY19" s="121"/>
      <c r="HZ19" s="121"/>
      <c r="IA19" s="111">
        <f>ROW()</f>
        <v>19</v>
      </c>
      <c r="IB19" s="112"/>
      <c r="IE19" s="636"/>
      <c r="IF19" s="635"/>
      <c r="IG19" s="266"/>
      <c r="IH19" s="266"/>
      <c r="II19" s="266"/>
      <c r="IJ19" s="266"/>
      <c r="IK19" s="266"/>
      <c r="IL19" s="266"/>
      <c r="IM19" s="266"/>
      <c r="IN19" s="266"/>
      <c r="IO19" s="266"/>
      <c r="IP19" s="266"/>
      <c r="IQ19" s="266"/>
      <c r="IR19" s="266"/>
      <c r="IS19" s="111">
        <f>ROW()</f>
        <v>19</v>
      </c>
      <c r="IT19" s="131" t="s">
        <v>234</v>
      </c>
      <c r="IU19" s="131"/>
      <c r="IV19" s="429">
        <f t="shared" ref="IV19:JF19" si="43">SUM(IV17:IV18)</f>
        <v>923313.29999999981</v>
      </c>
      <c r="IW19" s="429">
        <f t="shared" si="43"/>
        <v>984867.936666667</v>
      </c>
      <c r="IX19" s="429">
        <f t="shared" si="43"/>
        <v>1908181.2366666668</v>
      </c>
      <c r="IY19" s="429">
        <f t="shared" si="43"/>
        <v>0</v>
      </c>
      <c r="IZ19" s="429">
        <f t="shared" si="43"/>
        <v>1908181.2366666668</v>
      </c>
      <c r="JA19" s="429">
        <f t="shared" si="43"/>
        <v>0</v>
      </c>
      <c r="JB19" s="429">
        <f t="shared" si="43"/>
        <v>1908181.2366666668</v>
      </c>
      <c r="JC19" s="429">
        <f t="shared" si="43"/>
        <v>0</v>
      </c>
      <c r="JD19" s="429">
        <f t="shared" si="43"/>
        <v>1908181.2366666668</v>
      </c>
      <c r="JE19" s="429">
        <f t="shared" si="43"/>
        <v>-1877404.0336111076</v>
      </c>
      <c r="JF19" s="429">
        <f t="shared" si="43"/>
        <v>30777.203055559192</v>
      </c>
      <c r="JG19" s="429"/>
      <c r="JH19" s="429"/>
      <c r="JI19" s="429"/>
      <c r="JJ19" s="429"/>
      <c r="JK19" s="111">
        <f>ROW()</f>
        <v>19</v>
      </c>
      <c r="JL19" s="112"/>
      <c r="JM19" s="112"/>
      <c r="JN19" s="414"/>
      <c r="JO19" s="414"/>
      <c r="JP19" s="414"/>
      <c r="JQ19" s="414"/>
      <c r="JR19" s="414"/>
      <c r="JS19" s="414"/>
      <c r="JT19" s="414"/>
      <c r="JU19" s="414"/>
      <c r="JV19" s="414"/>
      <c r="JW19" s="414"/>
      <c r="JX19" s="414"/>
      <c r="JY19" s="414"/>
      <c r="JZ19" s="414"/>
      <c r="KA19" s="414"/>
      <c r="KB19" s="414"/>
      <c r="KC19" s="111">
        <f>ROW()</f>
        <v>19</v>
      </c>
      <c r="KD19" s="112" t="s">
        <v>230</v>
      </c>
      <c r="KE19" s="135">
        <v>0.21</v>
      </c>
      <c r="KF19" s="184">
        <f t="shared" ref="KF19:KP19" si="44">-KF17*$KE$19</f>
        <v>-188250.5997131881</v>
      </c>
      <c r="KG19" s="184">
        <f t="shared" si="44"/>
        <v>-296974.67703329492</v>
      </c>
      <c r="KH19" s="184">
        <f t="shared" si="44"/>
        <v>-485225.276746483</v>
      </c>
      <c r="KI19" s="184">
        <f t="shared" si="44"/>
        <v>0</v>
      </c>
      <c r="KJ19" s="184">
        <f t="shared" si="44"/>
        <v>-485225.276746483</v>
      </c>
      <c r="KK19" s="184">
        <f t="shared" si="44"/>
        <v>0</v>
      </c>
      <c r="KL19" s="184">
        <f t="shared" si="44"/>
        <v>-485225.276746483</v>
      </c>
      <c r="KM19" s="184">
        <f t="shared" si="44"/>
        <v>0</v>
      </c>
      <c r="KN19" s="184">
        <f t="shared" si="44"/>
        <v>-485225.276746483</v>
      </c>
      <c r="KO19" s="184">
        <f t="shared" si="44"/>
        <v>0</v>
      </c>
      <c r="KP19" s="184">
        <f t="shared" si="44"/>
        <v>-485225.276746483</v>
      </c>
      <c r="KQ19" s="184"/>
      <c r="KR19" s="184"/>
      <c r="KS19" s="184"/>
      <c r="KT19" s="184"/>
      <c r="KU19" s="111">
        <f>ROW()</f>
        <v>19</v>
      </c>
      <c r="KV19" s="249" t="s">
        <v>1004</v>
      </c>
      <c r="KW19" s="232"/>
      <c r="KX19" s="134">
        <v>1832097.7839766676</v>
      </c>
      <c r="KY19" s="134">
        <v>94027.874643797753</v>
      </c>
      <c r="KZ19" s="181">
        <f t="shared" si="21"/>
        <v>1926125.6586204653</v>
      </c>
      <c r="LA19" s="134">
        <v>0</v>
      </c>
      <c r="LB19" s="181">
        <f t="shared" si="22"/>
        <v>1926125.6586204653</v>
      </c>
      <c r="LC19" s="134">
        <v>0</v>
      </c>
      <c r="LD19" s="181">
        <f t="shared" si="23"/>
        <v>1926125.6586204653</v>
      </c>
      <c r="LE19" s="134">
        <v>0</v>
      </c>
      <c r="LF19" s="181">
        <f t="shared" si="24"/>
        <v>1926125.6586204653</v>
      </c>
      <c r="LG19" s="134">
        <v>0</v>
      </c>
      <c r="LH19" s="181">
        <f t="shared" si="25"/>
        <v>1926125.6586204653</v>
      </c>
      <c r="LI19" s="134">
        <v>0</v>
      </c>
      <c r="LJ19" s="181"/>
      <c r="LK19" s="134">
        <v>0</v>
      </c>
      <c r="LL19" s="181">
        <f t="shared" si="25"/>
        <v>0</v>
      </c>
      <c r="LM19" s="111">
        <f>ROW()</f>
        <v>19</v>
      </c>
      <c r="LN19" s="1" t="s">
        <v>128</v>
      </c>
      <c r="LP19" s="191">
        <v>-602543825.29567158</v>
      </c>
      <c r="LQ19" s="191">
        <v>6893324.6005116701</v>
      </c>
      <c r="LR19" s="121">
        <f t="shared" si="0"/>
        <v>-595650500.69515991</v>
      </c>
      <c r="LS19" s="121"/>
      <c r="LT19" s="121">
        <f t="shared" si="1"/>
        <v>-595650500.69515991</v>
      </c>
      <c r="LU19" s="121"/>
      <c r="LV19" s="121">
        <f t="shared" si="2"/>
        <v>-595650500.69515991</v>
      </c>
      <c r="LW19" s="121"/>
      <c r="LX19" s="121">
        <f t="shared" si="3"/>
        <v>-595650500.69515991</v>
      </c>
      <c r="LY19" s="121"/>
      <c r="LZ19" s="121">
        <f t="shared" si="4"/>
        <v>-595650500.69515991</v>
      </c>
      <c r="MA19" s="121"/>
      <c r="MB19" s="121"/>
      <c r="MC19" s="121"/>
      <c r="MD19" s="121">
        <f t="shared" si="4"/>
        <v>0</v>
      </c>
      <c r="ME19" s="111">
        <f>ROW()</f>
        <v>19</v>
      </c>
      <c r="MF19" s="117" t="s">
        <v>233</v>
      </c>
      <c r="MH19" s="121">
        <v>25270966.879579999</v>
      </c>
      <c r="MI19" s="121">
        <v>-3708141.4102255031</v>
      </c>
      <c r="MJ19" s="121">
        <f t="shared" si="26"/>
        <v>21562825.469354495</v>
      </c>
      <c r="MK19" s="121">
        <v>0</v>
      </c>
      <c r="ML19" s="121">
        <f>MJ19+MK19</f>
        <v>21562825.469354495</v>
      </c>
      <c r="MM19" s="121"/>
      <c r="MN19" s="121">
        <f>ML19+MM19</f>
        <v>21562825.469354495</v>
      </c>
      <c r="MO19" s="121"/>
      <c r="MP19" s="121">
        <f>MN19+MO19</f>
        <v>21562825.469354495</v>
      </c>
      <c r="MQ19" s="121"/>
      <c r="MR19" s="121">
        <f>MP19+MQ19</f>
        <v>21562825.469354495</v>
      </c>
      <c r="MS19" s="121"/>
      <c r="MT19" s="121"/>
      <c r="MU19" s="121"/>
      <c r="MV19" s="121"/>
      <c r="MW19" s="111">
        <f>ROW()</f>
        <v>19</v>
      </c>
      <c r="MX19" s="634"/>
      <c r="MZ19" s="1"/>
      <c r="NA19" s="1"/>
      <c r="NB19" s="1"/>
      <c r="NC19" s="121"/>
      <c r="ND19" s="121"/>
      <c r="NE19" s="121"/>
      <c r="NF19" s="121"/>
      <c r="NG19" s="121"/>
      <c r="NH19" s="121"/>
      <c r="NI19" s="121"/>
      <c r="NJ19" s="121"/>
      <c r="NK19" s="121"/>
      <c r="NL19" s="121"/>
      <c r="NM19" s="121"/>
      <c r="NN19" s="121"/>
      <c r="NO19" s="111">
        <f>ROW()</f>
        <v>19</v>
      </c>
      <c r="NP19" s="112" t="s">
        <v>62</v>
      </c>
      <c r="NR19" s="189"/>
      <c r="NS19" s="189"/>
      <c r="NT19" s="189"/>
      <c r="NU19" s="189"/>
      <c r="NV19" s="189"/>
      <c r="NW19" s="189"/>
      <c r="NX19" s="189">
        <f>'Summary DPK-7 '!I33</f>
        <v>23502556.576534674</v>
      </c>
      <c r="NY19" s="889">
        <f>'O&amp;M'!L157</f>
        <v>-7167323.3995859604</v>
      </c>
      <c r="NZ19" s="189">
        <f t="shared" si="27"/>
        <v>16335233.176948713</v>
      </c>
      <c r="OA19" s="889">
        <f>'O&amp;M'!M157</f>
        <v>-1383595.0370425768</v>
      </c>
      <c r="OB19" s="189">
        <f t="shared" si="28"/>
        <v>14951638.139906136</v>
      </c>
      <c r="OC19" s="717"/>
      <c r="OD19" s="717"/>
      <c r="OE19" s="717"/>
      <c r="OF19" s="717"/>
      <c r="OG19" s="111">
        <f>ROW()</f>
        <v>19</v>
      </c>
      <c r="OH19" s="121" t="s">
        <v>1003</v>
      </c>
      <c r="OI19" s="121"/>
      <c r="OJ19" s="366">
        <v>-2672926.9994000001</v>
      </c>
      <c r="OK19" s="366">
        <f>OL19-OJ19</f>
        <v>0</v>
      </c>
      <c r="OL19" s="366">
        <v>-2672926.9994000001</v>
      </c>
      <c r="OM19" s="366">
        <f>ON19-OL19</f>
        <v>2672926.9994000001</v>
      </c>
      <c r="ON19" s="366">
        <v>0</v>
      </c>
      <c r="OO19" s="377"/>
      <c r="OP19" s="377"/>
      <c r="OQ19" s="377"/>
      <c r="OR19" s="377"/>
      <c r="OS19" s="377"/>
      <c r="OT19" s="184"/>
      <c r="OU19" s="184"/>
      <c r="OV19" s="184"/>
      <c r="OW19" s="184"/>
      <c r="OX19" s="184"/>
      <c r="OY19" s="111">
        <f>ROW()</f>
        <v>19</v>
      </c>
      <c r="OZ19" s="163" t="s">
        <v>967</v>
      </c>
      <c r="PA19" s="172"/>
      <c r="PB19" s="121">
        <v>21401759.16719</v>
      </c>
      <c r="PC19" s="787">
        <v>-13779624.268260602</v>
      </c>
      <c r="PD19" s="121">
        <f>SUM(PB19:PC19)</f>
        <v>7622134.8989293985</v>
      </c>
      <c r="PE19" s="787">
        <v>13779624.268260602</v>
      </c>
      <c r="PF19" s="405">
        <f>SUM(PD19:PE19)</f>
        <v>21401759.16719</v>
      </c>
      <c r="PG19" s="787">
        <v>0</v>
      </c>
      <c r="PH19" s="405">
        <f>SUM(PF19:PG19)</f>
        <v>21401759.16719</v>
      </c>
      <c r="PI19" s="787">
        <v>0</v>
      </c>
      <c r="PJ19" s="267">
        <f>SUM(PH19:PI19)</f>
        <v>21401759.16719</v>
      </c>
      <c r="PK19" s="787">
        <v>0</v>
      </c>
      <c r="PL19" s="267">
        <f>SUM(PJ19:PK19)</f>
        <v>21401759.16719</v>
      </c>
      <c r="PM19" s="603"/>
      <c r="PN19" s="603"/>
      <c r="PO19" s="121"/>
      <c r="PP19" s="121"/>
      <c r="PQ19" s="111">
        <f>ROW()</f>
        <v>19</v>
      </c>
      <c r="PR19" s="920"/>
      <c r="PS19" s="163"/>
      <c r="PT19" s="121">
        <v>0</v>
      </c>
      <c r="PU19" s="121">
        <v>0</v>
      </c>
      <c r="PV19" s="121">
        <f>SUM(PT19:PU19)</f>
        <v>0</v>
      </c>
      <c r="PW19" s="121"/>
      <c r="PX19" s="121">
        <f>SUM(PV19:PW19)</f>
        <v>0</v>
      </c>
      <c r="PY19" s="121"/>
      <c r="PZ19" s="121"/>
      <c r="QA19" s="121"/>
      <c r="QB19" s="121"/>
      <c r="QC19" s="121"/>
      <c r="QD19" s="121"/>
      <c r="QE19" s="121"/>
      <c r="QF19" s="121"/>
      <c r="QG19" s="121"/>
      <c r="QH19" s="121"/>
      <c r="QJ19" s="336">
        <f>ROW()</f>
        <v>19</v>
      </c>
      <c r="QK19" s="241" t="s">
        <v>289</v>
      </c>
      <c r="QL19" s="329"/>
      <c r="QM19" s="385">
        <f t="shared" ref="QM19:QY19" si="45">QM17+QM18</f>
        <v>0</v>
      </c>
      <c r="QN19" s="385">
        <f t="shared" si="45"/>
        <v>0</v>
      </c>
      <c r="QO19" s="385">
        <f t="shared" si="45"/>
        <v>0</v>
      </c>
      <c r="QP19" s="385">
        <f t="shared" si="45"/>
        <v>0</v>
      </c>
      <c r="QQ19" s="385">
        <f t="shared" si="45"/>
        <v>0</v>
      </c>
      <c r="QR19" s="385">
        <f t="shared" si="45"/>
        <v>0</v>
      </c>
      <c r="QS19" s="385">
        <f t="shared" si="45"/>
        <v>0</v>
      </c>
      <c r="QT19" s="385">
        <f t="shared" si="45"/>
        <v>0</v>
      </c>
      <c r="QU19" s="385">
        <f t="shared" si="45"/>
        <v>0</v>
      </c>
      <c r="QV19" s="385">
        <f t="shared" si="45"/>
        <v>0</v>
      </c>
      <c r="QW19" s="385">
        <f t="shared" si="45"/>
        <v>0</v>
      </c>
      <c r="QX19" s="385">
        <f t="shared" si="45"/>
        <v>0</v>
      </c>
      <c r="QY19" s="385">
        <f t="shared" si="45"/>
        <v>0</v>
      </c>
      <c r="QZ19" s="385">
        <f t="shared" ref="QZ19:RA19" si="46">QZ17+QZ18</f>
        <v>0</v>
      </c>
      <c r="RA19" s="385">
        <f t="shared" si="46"/>
        <v>0</v>
      </c>
      <c r="RB19" s="336">
        <f>ROW()</f>
        <v>19</v>
      </c>
      <c r="RC19" s="329" t="s">
        <v>962</v>
      </c>
      <c r="RD19" s="329"/>
      <c r="RE19" s="337"/>
      <c r="RF19" s="337"/>
      <c r="RG19" s="356">
        <v>25305073.229354497</v>
      </c>
      <c r="RH19" s="356">
        <f>RI19-RG19</f>
        <v>-231352.7985272482</v>
      </c>
      <c r="RI19" s="265">
        <v>25073720.430827249</v>
      </c>
      <c r="RJ19" s="356">
        <f>RK19-RI19</f>
        <v>-2253078.2972623855</v>
      </c>
      <c r="RK19" s="265">
        <v>22820642.133564863</v>
      </c>
      <c r="RL19" s="356">
        <f>RM19-RK19</f>
        <v>-3062806.8819949329</v>
      </c>
      <c r="RM19" s="265">
        <v>19757835.25156993</v>
      </c>
      <c r="RN19" s="356">
        <f>RO19-RM19</f>
        <v>-4608053.669219967</v>
      </c>
      <c r="RO19" s="265">
        <v>15149781.582349963</v>
      </c>
      <c r="RP19" s="265"/>
      <c r="RQ19" s="265"/>
      <c r="RR19" s="356"/>
      <c r="RS19" s="265"/>
      <c r="RT19" s="345">
        <f>ROW()</f>
        <v>19</v>
      </c>
      <c r="RU19" s="341" t="s">
        <v>961</v>
      </c>
      <c r="RV19" s="241"/>
      <c r="RW19" s="367"/>
      <c r="RX19" s="367"/>
      <c r="RY19" s="367"/>
      <c r="RZ19" s="368">
        <v>0</v>
      </c>
      <c r="SA19" s="368">
        <f>RZ19+RY19</f>
        <v>0</v>
      </c>
      <c r="SB19" s="368">
        <v>0</v>
      </c>
      <c r="SC19" s="368">
        <f>SB19+SA19</f>
        <v>0</v>
      </c>
      <c r="SD19" s="368">
        <v>0</v>
      </c>
      <c r="SE19" s="368">
        <f>SD19+SC19</f>
        <v>0</v>
      </c>
      <c r="SF19" s="368">
        <v>0</v>
      </c>
      <c r="SG19" s="368">
        <f>SF19+SE19</f>
        <v>0</v>
      </c>
      <c r="SH19" s="368"/>
      <c r="SI19" s="368"/>
      <c r="SJ19" s="368"/>
      <c r="SK19" s="368"/>
      <c r="SL19" s="336">
        <f>ROW()</f>
        <v>19</v>
      </c>
      <c r="SM19" s="329" t="s">
        <v>961</v>
      </c>
      <c r="SN19" s="338"/>
      <c r="SO19" s="368"/>
      <c r="SP19" s="368"/>
      <c r="SQ19" s="368"/>
      <c r="SR19" s="368">
        <v>185854.02726</v>
      </c>
      <c r="SS19" s="355">
        <f>SR19</f>
        <v>185854.02726</v>
      </c>
      <c r="ST19" s="368">
        <v>2468673.2750599999</v>
      </c>
      <c r="SU19" s="355">
        <f>ST19+SS19</f>
        <v>2654527.3023199998</v>
      </c>
      <c r="SV19" s="355">
        <v>1579752.9608850004</v>
      </c>
      <c r="SW19" s="355">
        <f>SV19+SU19</f>
        <v>4234280.2632050002</v>
      </c>
      <c r="SX19" s="355">
        <v>3370457.4456249988</v>
      </c>
      <c r="SY19" s="355">
        <f>SX19+SW19</f>
        <v>7604737.708829999</v>
      </c>
      <c r="SZ19" s="355"/>
      <c r="TA19" s="355"/>
      <c r="TB19" s="575"/>
      <c r="TC19" s="575"/>
      <c r="TE19" s="336">
        <f>ROW()</f>
        <v>19</v>
      </c>
      <c r="TF19" s="464"/>
      <c r="TG19" s="873"/>
      <c r="TH19" s="880"/>
      <c r="TI19" s="880"/>
      <c r="TJ19" s="878"/>
      <c r="TK19" s="878"/>
      <c r="TL19" s="878"/>
      <c r="TM19" s="878"/>
      <c r="TN19" s="878"/>
      <c r="TO19" s="878"/>
      <c r="TP19" s="878"/>
      <c r="TQ19" s="878"/>
      <c r="TR19" s="878"/>
      <c r="TS19"/>
      <c r="TT19"/>
      <c r="TU19"/>
      <c r="TV19"/>
      <c r="TW19"/>
      <c r="TX19" s="336">
        <f>ROW()</f>
        <v>19</v>
      </c>
      <c r="TY19" s="3" t="s">
        <v>828</v>
      </c>
      <c r="UA19" s="178">
        <f>SUM(UA17:UA18)</f>
        <v>0</v>
      </c>
      <c r="UB19" s="178">
        <f>SUM(UB17:UB18)</f>
        <v>0</v>
      </c>
      <c r="UQ19" s="345">
        <f>ROW()</f>
        <v>19</v>
      </c>
      <c r="UR19" s="837"/>
      <c r="US19" s="837"/>
      <c r="UT19" s="837"/>
      <c r="UU19" s="837"/>
      <c r="UV19" s="837"/>
      <c r="UW19" s="837"/>
      <c r="UX19" s="837"/>
      <c r="UY19" s="837"/>
      <c r="UZ19" s="837"/>
      <c r="VA19" s="837"/>
      <c r="VB19" s="837"/>
      <c r="VC19" s="837"/>
      <c r="VD19" s="837"/>
      <c r="VJ19" s="345">
        <f>ROW()</f>
        <v>19</v>
      </c>
      <c r="VK19" s="3"/>
      <c r="VY19" s="345">
        <f>ROW()</f>
        <v>19</v>
      </c>
      <c r="VZ19" s="241"/>
      <c r="WB19" s="923"/>
      <c r="WC19" s="923"/>
      <c r="WD19" s="923"/>
      <c r="WE19" s="923"/>
      <c r="WF19" s="923"/>
      <c r="WG19" s="923"/>
      <c r="WH19" s="923"/>
      <c r="WI19" s="923"/>
      <c r="WJ19" s="923"/>
      <c r="WK19" s="923"/>
      <c r="WL19" s="923"/>
    </row>
    <row r="20" spans="1:610" ht="16" thickBot="1" x14ac:dyDescent="0.4">
      <c r="A20" s="111">
        <f>ROW()</f>
        <v>20</v>
      </c>
      <c r="B20" t="s">
        <v>1461</v>
      </c>
      <c r="C20" s="1188" t="s">
        <v>1869</v>
      </c>
      <c r="D20" s="1192"/>
      <c r="E20" s="1192">
        <f>'GAS COS Revenues'!$D$49</f>
        <v>-1560436.0505579826</v>
      </c>
      <c r="F20" s="1189"/>
      <c r="G20" s="1193"/>
      <c r="H20" s="1189"/>
      <c r="I20" s="1193"/>
      <c r="J20" s="1191"/>
      <c r="K20" s="1193"/>
      <c r="L20" s="1193"/>
      <c r="M20" s="1193"/>
      <c r="N20" s="608"/>
      <c r="O20" s="608"/>
      <c r="P20" s="608"/>
      <c r="Q20" s="608"/>
      <c r="R20" s="608"/>
      <c r="S20" s="111">
        <f>ROW()</f>
        <v>20</v>
      </c>
      <c r="T20" s="238" t="s">
        <v>1002</v>
      </c>
      <c r="U20" s="239"/>
      <c r="V20" s="121">
        <f t="shared" si="5"/>
        <v>567469958.16891921</v>
      </c>
      <c r="W20" s="134">
        <f>'GAS COS Revenues'!$E$7</f>
        <v>-567469958.16891921</v>
      </c>
      <c r="X20" s="134"/>
      <c r="Y20" s="134"/>
      <c r="Z20" s="134">
        <f t="shared" si="6"/>
        <v>0</v>
      </c>
      <c r="AA20" s="134"/>
      <c r="AB20" s="134">
        <f t="shared" si="7"/>
        <v>0</v>
      </c>
      <c r="AC20" s="134"/>
      <c r="AD20" s="134">
        <f t="shared" si="8"/>
        <v>0</v>
      </c>
      <c r="AE20" s="134"/>
      <c r="AF20" s="134">
        <f t="shared" si="9"/>
        <v>0</v>
      </c>
      <c r="AG20" s="134"/>
      <c r="AH20" s="134"/>
      <c r="AI20" s="134"/>
      <c r="AJ20" s="134"/>
      <c r="AK20" s="111">
        <f>ROW()</f>
        <v>20</v>
      </c>
      <c r="AL20" s="633" t="s">
        <v>1001</v>
      </c>
      <c r="AM20" s="179"/>
      <c r="AN20" s="114">
        <f>AN16*AN18</f>
        <v>7608659.5708574876</v>
      </c>
      <c r="AO20" s="114">
        <f>'GAS COS Revenues'!F58</f>
        <v>-90596.170162767172</v>
      </c>
      <c r="AP20" s="114">
        <f>AP16*AP18</f>
        <v>7518063.4006947204</v>
      </c>
      <c r="AQ20" s="114">
        <f>'GAS COS Revenues'!F59</f>
        <v>-23455855.920842834</v>
      </c>
      <c r="AR20" s="114">
        <f>AR16*AR18</f>
        <v>81100435.259652227</v>
      </c>
      <c r="AS20" s="114"/>
      <c r="AT20" s="114"/>
      <c r="AU20" s="165"/>
      <c r="AV20" s="165"/>
      <c r="AW20" s="165"/>
      <c r="AX20" s="114"/>
      <c r="AY20" s="114"/>
      <c r="AZ20" s="114"/>
      <c r="BA20" s="114"/>
      <c r="BB20" s="165"/>
      <c r="BC20" s="111">
        <f>ROW()</f>
        <v>20</v>
      </c>
      <c r="BD20" s="112" t="s">
        <v>272</v>
      </c>
      <c r="BF20" s="372">
        <f t="shared" ref="BF20:BP20" si="47">SUM(BF16:BF19)</f>
        <v>37650420.160000011</v>
      </c>
      <c r="BG20" s="372">
        <f t="shared" si="47"/>
        <v>2391601.7753268979</v>
      </c>
      <c r="BH20" s="372">
        <f t="shared" si="47"/>
        <v>40042021.935326904</v>
      </c>
      <c r="BI20" s="372">
        <f t="shared" si="47"/>
        <v>-133104.75165847223</v>
      </c>
      <c r="BJ20" s="372">
        <f t="shared" si="47"/>
        <v>39908917.183668435</v>
      </c>
      <c r="BK20" s="372">
        <f t="shared" si="47"/>
        <v>348814.75209316192</v>
      </c>
      <c r="BL20" s="372">
        <f t="shared" si="47"/>
        <v>40257731.935761601</v>
      </c>
      <c r="BM20" s="372">
        <f t="shared" si="47"/>
        <v>-3984285.403344369</v>
      </c>
      <c r="BN20" s="372">
        <f t="shared" si="47"/>
        <v>36273446.53241723</v>
      </c>
      <c r="BO20" s="372">
        <f t="shared" si="47"/>
        <v>-184598.59659993602</v>
      </c>
      <c r="BP20" s="372">
        <f t="shared" si="47"/>
        <v>36088847.935817294</v>
      </c>
      <c r="BQ20" s="372"/>
      <c r="BR20" s="372"/>
      <c r="BS20" s="372"/>
      <c r="BT20" s="372"/>
      <c r="BU20" s="111">
        <f>ROW()</f>
        <v>20</v>
      </c>
      <c r="BV20" s="159" t="s">
        <v>236</v>
      </c>
      <c r="BX20" s="632"/>
      <c r="BY20" s="497">
        <f>+'Def, COC, ConvF DPK-7 '!$K$13</f>
        <v>2.6299999999999997E-2</v>
      </c>
      <c r="BZ20" s="130">
        <f>+BY20</f>
        <v>2.6299999999999997E-2</v>
      </c>
      <c r="CA20" s="497">
        <f>+'Def, COC, ConvF DPK-7 '!$K$13</f>
        <v>2.6299999999999997E-2</v>
      </c>
      <c r="CB20" s="130">
        <f>+BY20</f>
        <v>2.6299999999999997E-2</v>
      </c>
      <c r="CC20" s="497">
        <f>+'Def, COC, ConvF DPK-7 '!$K$13</f>
        <v>2.6299999999999997E-2</v>
      </c>
      <c r="CD20" s="130">
        <f>+CA20</f>
        <v>2.6299999999999997E-2</v>
      </c>
      <c r="CE20" s="1302">
        <f>+'Def, COC, ConvF DPK-7 '!K24</f>
        <v>2.75E-2</v>
      </c>
      <c r="CF20" s="1331">
        <f>+CE20</f>
        <v>2.75E-2</v>
      </c>
      <c r="CG20" s="1331">
        <f>+'Def, COC, ConvF DPK-7 '!K36</f>
        <v>2.7699999999999999E-2</v>
      </c>
      <c r="CH20" s="1331">
        <f>+CG20</f>
        <v>2.7699999999999999E-2</v>
      </c>
      <c r="CI20" s="130"/>
      <c r="CJ20" s="130"/>
      <c r="CK20" s="130"/>
      <c r="CL20" s="130"/>
      <c r="CM20" s="111">
        <f>ROW()</f>
        <v>20</v>
      </c>
      <c r="CN20" s="238" t="s">
        <v>224</v>
      </c>
      <c r="CO20" s="238"/>
      <c r="CP20" s="631">
        <f t="shared" ref="CP20:CZ20" si="48">-CP17-CP19</f>
        <v>-3228380.8706864002</v>
      </c>
      <c r="CQ20" s="631">
        <f t="shared" si="48"/>
        <v>213041.17074922178</v>
      </c>
      <c r="CR20" s="631">
        <f t="shared" si="48"/>
        <v>-3015339.6999371783</v>
      </c>
      <c r="CS20" s="631">
        <f t="shared" si="48"/>
        <v>0</v>
      </c>
      <c r="CT20" s="631">
        <f t="shared" si="48"/>
        <v>-3015339.6999371783</v>
      </c>
      <c r="CU20" s="631">
        <f t="shared" si="48"/>
        <v>0</v>
      </c>
      <c r="CV20" s="631">
        <f t="shared" si="48"/>
        <v>-3015339.6999371783</v>
      </c>
      <c r="CW20" s="631">
        <f t="shared" si="48"/>
        <v>0</v>
      </c>
      <c r="CX20" s="631">
        <f t="shared" si="48"/>
        <v>-3015339.6999371783</v>
      </c>
      <c r="CY20" s="631">
        <f t="shared" si="48"/>
        <v>0</v>
      </c>
      <c r="CZ20" s="631">
        <f t="shared" si="48"/>
        <v>-3015339.6999371783</v>
      </c>
      <c r="DA20" s="631"/>
      <c r="DB20" s="631"/>
      <c r="DC20" s="631"/>
      <c r="DD20" s="631"/>
      <c r="DE20" s="111">
        <f>ROW()</f>
        <v>20</v>
      </c>
      <c r="DF20" s="112"/>
      <c r="DG20" s="172"/>
      <c r="DH20" s="266"/>
      <c r="DI20" s="266"/>
      <c r="DJ20" s="266"/>
      <c r="DK20" s="266"/>
      <c r="DL20" s="266"/>
      <c r="DM20" s="266"/>
      <c r="DN20" s="266"/>
      <c r="DO20" s="266"/>
      <c r="DP20" s="266"/>
      <c r="DQ20" s="266"/>
      <c r="DR20" s="266"/>
      <c r="DS20" s="266"/>
      <c r="DT20" s="266"/>
      <c r="DU20" s="266"/>
      <c r="DV20" s="266"/>
      <c r="DW20" s="111">
        <f>ROW()</f>
        <v>20</v>
      </c>
      <c r="DX20" s="112" t="s">
        <v>249</v>
      </c>
      <c r="DY20" s="186">
        <v>0.21</v>
      </c>
      <c r="DZ20" s="184">
        <f>-$DY$20*DZ19</f>
        <v>-10813809.018809998</v>
      </c>
      <c r="EA20" s="184">
        <f>-$DY$20*EA19</f>
        <v>-180.33726479977369</v>
      </c>
      <c r="EB20" s="134">
        <f>DZ20+EA20</f>
        <v>-10813989.356074799</v>
      </c>
      <c r="EC20" s="184">
        <f>-$DY$20*EC19</f>
        <v>0</v>
      </c>
      <c r="ED20" s="113">
        <f>EB20+EC20</f>
        <v>-10813989.356074799</v>
      </c>
      <c r="EE20" s="184">
        <f>-$DY$20*EE19</f>
        <v>0</v>
      </c>
      <c r="EF20" s="113">
        <f>ED20+EE20</f>
        <v>-10813989.356074799</v>
      </c>
      <c r="EG20" s="184">
        <f>-$DY$20*EG19</f>
        <v>0</v>
      </c>
      <c r="EH20" s="113">
        <f>EF20+EG20</f>
        <v>-10813989.356074799</v>
      </c>
      <c r="EI20" s="184">
        <f>-$DY$20*EI19</f>
        <v>0</v>
      </c>
      <c r="EJ20" s="113">
        <f>EH20+EI20</f>
        <v>-10813989.356074799</v>
      </c>
      <c r="EK20" s="113"/>
      <c r="EL20" s="113"/>
      <c r="EM20" s="184"/>
      <c r="EN20" s="113"/>
      <c r="EO20" s="111">
        <f>ROW()</f>
        <v>20</v>
      </c>
      <c r="EP20" s="238"/>
      <c r="EQ20" s="1"/>
      <c r="ER20" s="1"/>
      <c r="ES20" s="1"/>
      <c r="ET20" s="1"/>
      <c r="EU20" s="1"/>
      <c r="EV20" s="1"/>
      <c r="EW20" s="1"/>
      <c r="EX20" s="1"/>
      <c r="EY20" s="1"/>
      <c r="EZ20" s="1"/>
      <c r="FA20" s="1"/>
      <c r="FB20" s="1"/>
      <c r="FC20" s="1"/>
      <c r="FD20" s="1"/>
      <c r="FE20" s="1"/>
      <c r="FF20" s="1"/>
      <c r="FG20" s="111">
        <f>ROW()</f>
        <v>20</v>
      </c>
      <c r="FH20" s="1" t="s">
        <v>222</v>
      </c>
      <c r="FI20" s="114"/>
      <c r="FJ20" s="630">
        <f>FJ18</f>
        <v>445050.02114780352</v>
      </c>
      <c r="FK20" s="630">
        <f>FK18</f>
        <v>-24042.600429258582</v>
      </c>
      <c r="FL20" s="114">
        <f>FJ20+FK20</f>
        <v>421007.42071854492</v>
      </c>
      <c r="FM20" s="630"/>
      <c r="FN20" s="114">
        <f>FL20+FM20</f>
        <v>421007.42071854492</v>
      </c>
      <c r="FO20" s="630"/>
      <c r="FP20" s="114">
        <f>FN20+FO20</f>
        <v>421007.42071854492</v>
      </c>
      <c r="FQ20" s="630"/>
      <c r="FR20" s="114">
        <f>FP20+FQ20</f>
        <v>421007.42071854492</v>
      </c>
      <c r="FS20" s="630"/>
      <c r="FT20" s="114">
        <f>FR20+FS20</f>
        <v>421007.42071854492</v>
      </c>
      <c r="FU20" s="114"/>
      <c r="FV20" s="114"/>
      <c r="FW20" s="630"/>
      <c r="FX20" s="114"/>
      <c r="FY20" s="111">
        <f>ROW()</f>
        <v>20</v>
      </c>
      <c r="FZ20" s="249" t="s">
        <v>229</v>
      </c>
      <c r="GB20" s="134">
        <v>0</v>
      </c>
      <c r="GC20" s="134">
        <v>0</v>
      </c>
      <c r="GD20" s="134">
        <f t="shared" si="11"/>
        <v>0</v>
      </c>
      <c r="GE20" s="134">
        <v>0</v>
      </c>
      <c r="GF20" s="134">
        <f t="shared" si="12"/>
        <v>0</v>
      </c>
      <c r="GG20" s="134">
        <v>0</v>
      </c>
      <c r="GH20" s="134">
        <f t="shared" si="13"/>
        <v>0</v>
      </c>
      <c r="GI20" s="134">
        <v>0</v>
      </c>
      <c r="GJ20" s="134">
        <f t="shared" si="14"/>
        <v>0</v>
      </c>
      <c r="GK20" s="134">
        <v>0</v>
      </c>
      <c r="GL20" s="134">
        <f t="shared" si="15"/>
        <v>0</v>
      </c>
      <c r="GM20" s="134"/>
      <c r="GN20" s="134"/>
      <c r="GO20" s="134"/>
      <c r="GP20" s="134"/>
      <c r="GQ20" s="111">
        <f>ROW()</f>
        <v>20</v>
      </c>
      <c r="GR20" s="112" t="s">
        <v>240</v>
      </c>
      <c r="GS20" s="111"/>
      <c r="GT20" s="233">
        <v>1846544.5284000002</v>
      </c>
      <c r="GU20" s="175">
        <v>27698.167925999966</v>
      </c>
      <c r="GV20" s="175">
        <f>SUM(GT20:GU20)</f>
        <v>1874242.6963260002</v>
      </c>
      <c r="GW20" s="175">
        <v>0</v>
      </c>
      <c r="GX20" s="175">
        <f t="shared" ref="GX20" si="49">SUM(GV20:GW20)</f>
        <v>1874242.6963260002</v>
      </c>
      <c r="GY20" s="175">
        <v>0</v>
      </c>
      <c r="GZ20" s="175">
        <f t="shared" ref="GZ20" si="50">SUM(GX20:GY20)</f>
        <v>1874242.6963260002</v>
      </c>
      <c r="HA20" s="175">
        <v>0</v>
      </c>
      <c r="HB20" s="175">
        <f t="shared" ref="HB20" si="51">SUM(GZ20:HA20)</f>
        <v>1874242.6963260002</v>
      </c>
      <c r="HC20" s="175">
        <v>0</v>
      </c>
      <c r="HD20" s="175">
        <f t="shared" ref="HD20" si="52">SUM(HB20:HC20)</f>
        <v>1874242.6963260002</v>
      </c>
      <c r="HE20" s="175"/>
      <c r="HF20" s="175"/>
      <c r="HG20" s="175"/>
      <c r="HH20" s="175"/>
      <c r="HQ20" s="121"/>
      <c r="HR20" s="121"/>
      <c r="HS20" s="121"/>
      <c r="HT20" s="121"/>
      <c r="HU20" s="121"/>
      <c r="HV20" s="121"/>
      <c r="HW20" s="121"/>
      <c r="HX20" s="121"/>
      <c r="HY20" s="121"/>
      <c r="HZ20" s="121"/>
      <c r="IA20" s="111">
        <f>ROW()</f>
        <v>20</v>
      </c>
      <c r="IB20" s="112" t="s">
        <v>239</v>
      </c>
      <c r="IC20" s="135">
        <v>0.21</v>
      </c>
      <c r="ID20" s="113">
        <f t="shared" ref="ID20:IN20" si="53">-ID18*$IC$20</f>
        <v>-806138.1646242959</v>
      </c>
      <c r="IE20" s="113">
        <f t="shared" si="53"/>
        <v>-115634.25707030407</v>
      </c>
      <c r="IF20" s="113">
        <f t="shared" si="53"/>
        <v>-921772.42169460002</v>
      </c>
      <c r="IG20" s="113">
        <f t="shared" si="53"/>
        <v>0</v>
      </c>
      <c r="IH20" s="113">
        <f t="shared" si="53"/>
        <v>-921772.42169460002</v>
      </c>
      <c r="II20" s="113">
        <f t="shared" si="53"/>
        <v>0</v>
      </c>
      <c r="IJ20" s="113">
        <f t="shared" si="53"/>
        <v>-921772.42169460002</v>
      </c>
      <c r="IK20" s="113">
        <f t="shared" si="53"/>
        <v>0</v>
      </c>
      <c r="IL20" s="113">
        <f t="shared" si="53"/>
        <v>-921772.42169460002</v>
      </c>
      <c r="IM20" s="113">
        <f t="shared" si="53"/>
        <v>0</v>
      </c>
      <c r="IN20" s="113">
        <f t="shared" si="53"/>
        <v>-921772.42169460002</v>
      </c>
      <c r="IO20" s="113"/>
      <c r="IP20" s="113"/>
      <c r="IQ20" s="113"/>
      <c r="IR20" s="113"/>
      <c r="IS20" s="111">
        <f>ROW()</f>
        <v>20</v>
      </c>
      <c r="JK20" s="111">
        <f>ROW()</f>
        <v>20</v>
      </c>
      <c r="JL20" s="112" t="s">
        <v>1000</v>
      </c>
      <c r="JM20" s="112"/>
      <c r="JN20" s="114">
        <f>JN18</f>
        <v>100836.95771756492</v>
      </c>
      <c r="JO20" s="114">
        <f>JO18</f>
        <v>-16580.372792206952</v>
      </c>
      <c r="JP20" s="114">
        <f>+JP18</f>
        <v>84256.584925357965</v>
      </c>
      <c r="JQ20" s="114">
        <f>+JQ18</f>
        <v>0</v>
      </c>
      <c r="JR20" s="114">
        <f>+JR18</f>
        <v>84256.584925357965</v>
      </c>
      <c r="JS20" s="114"/>
      <c r="JT20" s="114">
        <f>+JT18</f>
        <v>84256.584925357965</v>
      </c>
      <c r="JU20" s="114"/>
      <c r="JV20" s="114">
        <f>+JV18</f>
        <v>84256.584925357965</v>
      </c>
      <c r="JW20" s="114"/>
      <c r="JX20" s="114">
        <f>+JX18</f>
        <v>84256.584925357965</v>
      </c>
      <c r="JY20" s="114"/>
      <c r="JZ20" s="114"/>
      <c r="KA20" s="114"/>
      <c r="KB20" s="114"/>
      <c r="KC20" s="111">
        <f>ROW()</f>
        <v>20</v>
      </c>
      <c r="KD20" s="112" t="s">
        <v>224</v>
      </c>
      <c r="KE20" s="112"/>
      <c r="KF20" s="624">
        <f t="shared" ref="KF20:KP20" si="54">-KF17-KF19</f>
        <v>-708180.82749246957</v>
      </c>
      <c r="KG20" s="624">
        <f t="shared" si="54"/>
        <v>-1117190.4516966809</v>
      </c>
      <c r="KH20" s="624">
        <f t="shared" si="54"/>
        <v>-1825371.2791891503</v>
      </c>
      <c r="KI20" s="624">
        <f t="shared" si="54"/>
        <v>0</v>
      </c>
      <c r="KJ20" s="624">
        <f t="shared" si="54"/>
        <v>-1825371.2791891503</v>
      </c>
      <c r="KK20" s="624">
        <f t="shared" si="54"/>
        <v>0</v>
      </c>
      <c r="KL20" s="624">
        <f t="shared" si="54"/>
        <v>-1825371.2791891503</v>
      </c>
      <c r="KM20" s="624">
        <f t="shared" si="54"/>
        <v>0</v>
      </c>
      <c r="KN20" s="624">
        <f t="shared" si="54"/>
        <v>-1825371.2791891503</v>
      </c>
      <c r="KO20" s="624">
        <f t="shared" si="54"/>
        <v>0</v>
      </c>
      <c r="KP20" s="624">
        <f t="shared" si="54"/>
        <v>-1825371.2791891503</v>
      </c>
      <c r="KQ20" s="624"/>
      <c r="KR20" s="624"/>
      <c r="KS20" s="624"/>
      <c r="KT20" s="624"/>
      <c r="KU20" s="111">
        <f>ROW()</f>
        <v>20</v>
      </c>
      <c r="KV20" s="249" t="s">
        <v>229</v>
      </c>
      <c r="KW20" s="232"/>
      <c r="KX20" s="134">
        <v>0</v>
      </c>
      <c r="KY20" s="134">
        <v>0</v>
      </c>
      <c r="KZ20" s="181">
        <f t="shared" si="21"/>
        <v>0</v>
      </c>
      <c r="LA20" s="134">
        <v>0</v>
      </c>
      <c r="LB20" s="181">
        <f t="shared" si="22"/>
        <v>0</v>
      </c>
      <c r="LC20" s="134">
        <v>0</v>
      </c>
      <c r="LD20" s="181">
        <f t="shared" si="23"/>
        <v>0</v>
      </c>
      <c r="LE20" s="134">
        <v>0</v>
      </c>
      <c r="LF20" s="181">
        <f t="shared" si="24"/>
        <v>0</v>
      </c>
      <c r="LG20" s="134">
        <v>0</v>
      </c>
      <c r="LH20" s="181">
        <f t="shared" si="25"/>
        <v>0</v>
      </c>
      <c r="LI20" s="134">
        <v>0</v>
      </c>
      <c r="LJ20" s="181"/>
      <c r="LK20" s="134">
        <v>0</v>
      </c>
      <c r="LL20" s="181">
        <f t="shared" si="25"/>
        <v>0</v>
      </c>
      <c r="LM20" s="111">
        <f>ROW()</f>
        <v>20</v>
      </c>
      <c r="LN20" s="1" t="s">
        <v>129</v>
      </c>
      <c r="LP20" s="191">
        <v>127273380.60826026</v>
      </c>
      <c r="LQ20" s="191">
        <v>-8245213.3162603527</v>
      </c>
      <c r="LR20" s="121">
        <f t="shared" si="0"/>
        <v>119028167.29199991</v>
      </c>
      <c r="LS20" s="121"/>
      <c r="LT20" s="121">
        <f t="shared" si="1"/>
        <v>119028167.29199991</v>
      </c>
      <c r="LU20" s="121"/>
      <c r="LV20" s="121">
        <f t="shared" si="2"/>
        <v>119028167.29199991</v>
      </c>
      <c r="LW20" s="121"/>
      <c r="LX20" s="121">
        <f t="shared" si="3"/>
        <v>119028167.29199991</v>
      </c>
      <c r="LY20" s="121"/>
      <c r="LZ20" s="121">
        <f t="shared" si="4"/>
        <v>119028167.29199991</v>
      </c>
      <c r="MA20" s="121"/>
      <c r="MB20" s="121"/>
      <c r="MC20" s="121"/>
      <c r="MD20" s="121">
        <f t="shared" si="4"/>
        <v>0</v>
      </c>
      <c r="ME20" s="111">
        <f>ROW()</f>
        <v>20</v>
      </c>
      <c r="MF20" s="117" t="s">
        <v>241</v>
      </c>
      <c r="MH20" s="429">
        <f t="shared" ref="MH20:MR20" si="55">SUM(MH16:MH19)</f>
        <v>193561678.53768489</v>
      </c>
      <c r="MI20" s="429">
        <f t="shared" si="55"/>
        <v>9263996.8467858415</v>
      </c>
      <c r="MJ20" s="429">
        <f t="shared" si="55"/>
        <v>202825675.3844707</v>
      </c>
      <c r="MK20" s="429">
        <f t="shared" si="55"/>
        <v>0</v>
      </c>
      <c r="ML20" s="429">
        <f t="shared" si="55"/>
        <v>202825675.3844707</v>
      </c>
      <c r="MM20" s="429">
        <f t="shared" si="55"/>
        <v>0</v>
      </c>
      <c r="MN20" s="429">
        <f t="shared" si="55"/>
        <v>202825675.3844707</v>
      </c>
      <c r="MO20" s="429">
        <f t="shared" si="55"/>
        <v>0</v>
      </c>
      <c r="MP20" s="429">
        <f t="shared" si="55"/>
        <v>202825675.3844707</v>
      </c>
      <c r="MQ20" s="429">
        <f t="shared" si="55"/>
        <v>0</v>
      </c>
      <c r="MR20" s="429">
        <f t="shared" si="55"/>
        <v>202825675.3844707</v>
      </c>
      <c r="MS20" s="429"/>
      <c r="MT20" s="429"/>
      <c r="MU20" s="429"/>
      <c r="MV20" s="429"/>
      <c r="MW20" s="111">
        <f>ROW()</f>
        <v>20</v>
      </c>
      <c r="MX20" s="618" t="s">
        <v>238</v>
      </c>
      <c r="MZ20" s="629">
        <f t="shared" ref="MZ20:NB20" si="56">+MZ18</f>
        <v>5299162.91</v>
      </c>
      <c r="NA20" s="629">
        <f t="shared" si="56"/>
        <v>-18253.489559999667</v>
      </c>
      <c r="NB20" s="629">
        <f t="shared" si="56"/>
        <v>5280909.4204400005</v>
      </c>
      <c r="NC20" s="121">
        <f>NC18</f>
        <v>0</v>
      </c>
      <c r="ND20" s="121">
        <f>SUM(NB20:NC20)</f>
        <v>5280909.4204400005</v>
      </c>
      <c r="NE20" s="121">
        <f>NE18</f>
        <v>0</v>
      </c>
      <c r="NF20" s="121">
        <f>SUM(ND20:NE20)</f>
        <v>5280909.4204400005</v>
      </c>
      <c r="NG20" s="121">
        <f>NG18</f>
        <v>0</v>
      </c>
      <c r="NH20" s="121">
        <f>SUM(NF20:NG20)</f>
        <v>5280909.4204400005</v>
      </c>
      <c r="NI20" s="121">
        <f>NI18</f>
        <v>0</v>
      </c>
      <c r="NJ20" s="121">
        <f>SUM(NH20:NI20)</f>
        <v>5280909.4204400005</v>
      </c>
      <c r="NK20" s="121">
        <f>NK18</f>
        <v>0</v>
      </c>
      <c r="NL20" s="121"/>
      <c r="NM20" s="121">
        <f>NM18</f>
        <v>0</v>
      </c>
      <c r="NN20" s="121">
        <f>SUM(NL20:NM20)</f>
        <v>0</v>
      </c>
      <c r="NO20" s="111">
        <f>ROW()</f>
        <v>20</v>
      </c>
      <c r="NP20" s="112" t="s">
        <v>63</v>
      </c>
      <c r="NR20" s="189"/>
      <c r="NS20" s="189"/>
      <c r="NT20" s="189"/>
      <c r="NU20" s="189"/>
      <c r="NV20" s="189"/>
      <c r="NW20" s="189"/>
      <c r="NX20" s="189">
        <f>'Summary DPK-7 '!I34</f>
        <v>2401812.2597524063</v>
      </c>
      <c r="NY20" s="889">
        <f>'O&amp;M'!L158</f>
        <v>-527180.86679653171</v>
      </c>
      <c r="NZ20" s="189">
        <f t="shared" si="27"/>
        <v>1874631.3929558746</v>
      </c>
      <c r="OA20" s="889">
        <f>'O&amp;M'!M158</f>
        <v>-61313.328571709106</v>
      </c>
      <c r="OB20" s="189">
        <f t="shared" si="28"/>
        <v>1813318.0643841655</v>
      </c>
      <c r="OC20" s="717"/>
      <c r="OD20" s="717"/>
      <c r="OE20" s="717"/>
      <c r="OF20" s="717"/>
      <c r="OG20" s="111">
        <f>ROW()</f>
        <v>20</v>
      </c>
      <c r="OH20" s="121" t="s">
        <v>908</v>
      </c>
      <c r="OI20" s="121"/>
      <c r="OJ20" s="367">
        <v>-9391457.368920818</v>
      </c>
      <c r="OK20" s="367">
        <f>OL20-OJ20</f>
        <v>0</v>
      </c>
      <c r="OL20" s="367">
        <v>-9391457.368920818</v>
      </c>
      <c r="OM20" s="367">
        <f>ON20-OL20</f>
        <v>9391457.368920818</v>
      </c>
      <c r="ON20" s="367">
        <v>0</v>
      </c>
      <c r="OO20" s="378"/>
      <c r="OP20" s="378"/>
      <c r="OQ20" s="378"/>
      <c r="OR20" s="378"/>
      <c r="OS20" s="378"/>
      <c r="OT20" s="379"/>
      <c r="OU20" s="379"/>
      <c r="OV20" s="379"/>
      <c r="OW20" s="379"/>
      <c r="OX20" s="379"/>
      <c r="OY20" s="111">
        <f>ROW()</f>
        <v>20</v>
      </c>
      <c r="OZ20" s="163"/>
      <c r="PA20" s="172"/>
      <c r="PB20" s="121"/>
      <c r="PC20" s="121"/>
      <c r="PD20" s="121"/>
      <c r="PE20" s="405"/>
      <c r="PF20" s="405"/>
      <c r="PG20" s="405"/>
      <c r="PH20" s="405"/>
      <c r="PI20" s="405"/>
      <c r="PJ20" s="267"/>
      <c r="PK20" s="405"/>
      <c r="PL20" s="267"/>
      <c r="PM20" s="617"/>
      <c r="PN20" s="617"/>
      <c r="PO20" s="121"/>
      <c r="PP20" s="121"/>
      <c r="PQ20" s="111">
        <f>ROW()</f>
        <v>20</v>
      </c>
      <c r="PR20" s="919" t="s">
        <v>242</v>
      </c>
      <c r="PS20" s="135">
        <v>0.21</v>
      </c>
      <c r="PT20" s="121">
        <f>-PT17*$PS$20</f>
        <v>-1131379.6388999994</v>
      </c>
      <c r="PU20" s="121">
        <f t="shared" ref="PU20:QD20" si="57">-PU17*$PS$20</f>
        <v>-71162.119150273342</v>
      </c>
      <c r="PV20" s="121">
        <f t="shared" si="57"/>
        <v>-1202541.7580502727</v>
      </c>
      <c r="PW20" s="121">
        <f t="shared" si="57"/>
        <v>2223.811285273237</v>
      </c>
      <c r="PX20" s="121">
        <f t="shared" si="57"/>
        <v>-1200317.9467649995</v>
      </c>
      <c r="PY20" s="121">
        <f t="shared" si="57"/>
        <v>-2223.8142150000203</v>
      </c>
      <c r="PZ20" s="121">
        <f t="shared" si="57"/>
        <v>-1202541.7609799996</v>
      </c>
      <c r="QA20" s="121">
        <f t="shared" si="57"/>
        <v>363239.61813323753</v>
      </c>
      <c r="QB20" s="121">
        <f t="shared" si="57"/>
        <v>-839302.14284676197</v>
      </c>
      <c r="QC20" s="121">
        <f t="shared" si="57"/>
        <v>375712.58205029415</v>
      </c>
      <c r="QD20" s="121">
        <f t="shared" si="57"/>
        <v>-463589.56079646776</v>
      </c>
      <c r="QE20" s="121"/>
      <c r="QF20" s="121"/>
      <c r="QG20" s="121"/>
      <c r="QH20" s="121"/>
      <c r="QJ20" s="336"/>
      <c r="QK20" s="329"/>
      <c r="QL20" s="329"/>
      <c r="RB20" s="336">
        <f>ROW()</f>
        <v>20</v>
      </c>
      <c r="RC20" s="329" t="s">
        <v>961</v>
      </c>
      <c r="RD20" s="329"/>
      <c r="RE20" s="340"/>
      <c r="RF20" s="340"/>
      <c r="RG20" s="355">
        <v>0</v>
      </c>
      <c r="RH20" s="355">
        <f>RI20-RG20</f>
        <v>0</v>
      </c>
      <c r="RI20" s="368">
        <v>0</v>
      </c>
      <c r="RJ20" s="355">
        <f>RK20-RI20</f>
        <v>0</v>
      </c>
      <c r="RK20" s="368">
        <v>0</v>
      </c>
      <c r="RL20" s="355">
        <f>RM20-RK20</f>
        <v>0</v>
      </c>
      <c r="RM20" s="368">
        <v>0</v>
      </c>
      <c r="RN20" s="355">
        <f>RO20-RM20</f>
        <v>0</v>
      </c>
      <c r="RO20" s="368">
        <v>0</v>
      </c>
      <c r="RP20" s="368"/>
      <c r="RQ20" s="368"/>
      <c r="RR20" s="355"/>
      <c r="RS20" s="368"/>
      <c r="RT20" s="345">
        <f>ROW()</f>
        <v>20</v>
      </c>
      <c r="RU20" s="329" t="s">
        <v>241</v>
      </c>
      <c r="RV20" s="241"/>
      <c r="RW20" s="366"/>
      <c r="RX20" s="366"/>
      <c r="RY20" s="366">
        <f t="shared" ref="RY20:SG20" si="58">SUM(RY16:RY19)</f>
        <v>0</v>
      </c>
      <c r="RZ20" s="366">
        <f t="shared" si="58"/>
        <v>-42632.08</v>
      </c>
      <c r="SA20" s="366">
        <f t="shared" si="58"/>
        <v>-42632.08</v>
      </c>
      <c r="SB20" s="366">
        <f t="shared" si="58"/>
        <v>-254648.25999999995</v>
      </c>
      <c r="SC20" s="366">
        <f t="shared" si="58"/>
        <v>-297280.33999999997</v>
      </c>
      <c r="SD20" s="366">
        <f t="shared" si="58"/>
        <v>-629245.79000000108</v>
      </c>
      <c r="SE20" s="366">
        <f t="shared" si="58"/>
        <v>-926526.13000000105</v>
      </c>
      <c r="SF20" s="366">
        <f t="shared" si="58"/>
        <v>-629245.79000000108</v>
      </c>
      <c r="SG20" s="366">
        <f t="shared" si="58"/>
        <v>-1555771.9200000023</v>
      </c>
      <c r="SH20" s="366"/>
      <c r="SI20" s="366"/>
      <c r="SJ20" s="366"/>
      <c r="SK20" s="366"/>
      <c r="SL20" s="336">
        <f>ROW()</f>
        <v>20</v>
      </c>
      <c r="SM20" s="329" t="s">
        <v>871</v>
      </c>
      <c r="SN20" s="338"/>
      <c r="SO20" s="356"/>
      <c r="SP20" s="356"/>
      <c r="SQ20" s="356"/>
      <c r="SR20" s="356">
        <f t="shared" ref="SR20:SY20" si="59">SUM(SR16:SR19)</f>
        <v>611271.05680999998</v>
      </c>
      <c r="SS20" s="356">
        <f t="shared" si="59"/>
        <v>611271.05680999998</v>
      </c>
      <c r="ST20" s="356">
        <f t="shared" si="59"/>
        <v>6992223.892155</v>
      </c>
      <c r="SU20" s="356">
        <f t="shared" si="59"/>
        <v>7603494.948965</v>
      </c>
      <c r="SV20" s="356">
        <f t="shared" si="59"/>
        <v>10656964.659060001</v>
      </c>
      <c r="SW20" s="356">
        <f t="shared" si="59"/>
        <v>18260459.608024999</v>
      </c>
      <c r="SX20" s="356">
        <f t="shared" si="59"/>
        <v>10578304.551260002</v>
      </c>
      <c r="SY20" s="356">
        <f t="shared" si="59"/>
        <v>28838764.159285001</v>
      </c>
      <c r="SZ20" s="356"/>
      <c r="TA20" s="356"/>
      <c r="TB20" s="525"/>
      <c r="TC20" s="525"/>
      <c r="TE20" s="336">
        <f>ROW()</f>
        <v>20</v>
      </c>
      <c r="TF20" s="464"/>
      <c r="TG20" s="873"/>
      <c r="TH20" s="881"/>
      <c r="TI20" s="881"/>
      <c r="TJ20" s="882"/>
      <c r="TK20" s="882"/>
      <c r="TL20" s="882"/>
      <c r="TM20" s="882"/>
      <c r="TN20" s="882"/>
      <c r="TO20" s="882"/>
      <c r="TP20" s="882"/>
      <c r="TQ20" s="882"/>
      <c r="TR20" s="882"/>
      <c r="TS20"/>
      <c r="TT20"/>
      <c r="TU20"/>
      <c r="TV20"/>
      <c r="TW20"/>
      <c r="TX20" s="336">
        <f>ROW()</f>
        <v>20</v>
      </c>
      <c r="TY20" s="237" t="s">
        <v>286</v>
      </c>
      <c r="UA20" s="178"/>
      <c r="UB20" s="178"/>
      <c r="UQ20" s="345">
        <f>ROW()</f>
        <v>20</v>
      </c>
      <c r="UR20" s="837"/>
      <c r="UT20" s="121"/>
      <c r="UU20" s="121"/>
      <c r="UV20" s="121"/>
      <c r="UW20" s="121"/>
      <c r="UX20" s="121"/>
      <c r="UY20" s="121"/>
      <c r="UZ20" s="121"/>
      <c r="VA20" s="121"/>
      <c r="VB20" s="121"/>
      <c r="VC20" s="121"/>
      <c r="VD20" s="121"/>
      <c r="VJ20" s="345">
        <f>ROW()</f>
        <v>20</v>
      </c>
      <c r="VP20" s="178"/>
      <c r="VQ20" s="178"/>
      <c r="VR20" s="178"/>
      <c r="VS20" s="178"/>
      <c r="VT20" s="178"/>
      <c r="VU20" s="114"/>
      <c r="VV20" s="178"/>
      <c r="VW20" s="114"/>
      <c r="VY20" s="345">
        <f>ROW()</f>
        <v>20</v>
      </c>
      <c r="VZ20" s="232" t="s">
        <v>239</v>
      </c>
      <c r="WA20" s="320">
        <v>0.21</v>
      </c>
      <c r="WB20" s="366">
        <f t="shared" ref="WB20:WL20" si="60">-WB18*$VL$31</f>
        <v>0</v>
      </c>
      <c r="WC20" s="366">
        <f t="shared" si="60"/>
        <v>0</v>
      </c>
      <c r="WD20" s="366">
        <f t="shared" si="60"/>
        <v>0</v>
      </c>
      <c r="WE20" s="366">
        <f t="shared" si="60"/>
        <v>0</v>
      </c>
      <c r="WF20" s="366">
        <f t="shared" si="60"/>
        <v>0</v>
      </c>
      <c r="WG20" s="366">
        <f t="shared" si="60"/>
        <v>0</v>
      </c>
      <c r="WH20" s="366">
        <f t="shared" si="60"/>
        <v>0</v>
      </c>
      <c r="WI20" s="366">
        <f t="shared" si="60"/>
        <v>-84789.36648040099</v>
      </c>
      <c r="WJ20" s="366">
        <f t="shared" si="60"/>
        <v>-84789.36648040099</v>
      </c>
      <c r="WK20" s="366">
        <f t="shared" si="60"/>
        <v>-2967.6278268140113</v>
      </c>
      <c r="WL20" s="366">
        <f t="shared" si="60"/>
        <v>-87756.994307215005</v>
      </c>
    </row>
    <row r="21" spans="1:610" ht="16.5" thickTop="1" thickBot="1" x14ac:dyDescent="0.4">
      <c r="A21" s="111">
        <f>ROW()</f>
        <v>21</v>
      </c>
      <c r="B21" t="s">
        <v>1483</v>
      </c>
      <c r="C21" s="1188" t="s">
        <v>1869</v>
      </c>
      <c r="D21" s="1189"/>
      <c r="E21" s="1189">
        <f>'GAS COS Revenues'!$D$23</f>
        <v>-23537159.707467638</v>
      </c>
      <c r="F21" s="1189"/>
      <c r="G21" s="1193"/>
      <c r="H21" s="1189"/>
      <c r="I21" s="1193"/>
      <c r="J21" s="1191"/>
      <c r="K21" s="1193"/>
      <c r="L21" s="1193"/>
      <c r="M21" s="1193"/>
      <c r="N21" s="189"/>
      <c r="O21" s="189"/>
      <c r="P21" s="189"/>
      <c r="Q21" s="189"/>
      <c r="R21" s="189"/>
      <c r="S21" s="111">
        <f>ROW()</f>
        <v>21</v>
      </c>
      <c r="T21" s="238" t="s">
        <v>999</v>
      </c>
      <c r="V21" s="121">
        <f t="shared" si="5"/>
        <v>37292558.707003511</v>
      </c>
      <c r="W21" s="134">
        <f>'GAS COS Revenues'!$E$8</f>
        <v>-37292558.707003511</v>
      </c>
      <c r="X21" s="134"/>
      <c r="Y21" s="134"/>
      <c r="Z21" s="134">
        <f t="shared" si="6"/>
        <v>0</v>
      </c>
      <c r="AA21" s="134"/>
      <c r="AB21" s="134">
        <f t="shared" si="7"/>
        <v>0</v>
      </c>
      <c r="AC21" s="134"/>
      <c r="AD21" s="134">
        <f t="shared" si="8"/>
        <v>0</v>
      </c>
      <c r="AE21" s="134"/>
      <c r="AF21" s="134">
        <f t="shared" si="9"/>
        <v>0</v>
      </c>
      <c r="AG21" s="134"/>
      <c r="AH21" s="134"/>
      <c r="AI21" s="134"/>
      <c r="AJ21" s="134"/>
      <c r="AK21" s="111">
        <f>ROW()</f>
        <v>21</v>
      </c>
      <c r="AL21" s="179"/>
      <c r="AM21" s="179"/>
      <c r="AN21" s="628"/>
      <c r="AO21" s="628"/>
      <c r="AP21" s="628"/>
      <c r="AQ21" s="628"/>
      <c r="AR21" s="628"/>
      <c r="AS21" s="628"/>
      <c r="AT21" s="628"/>
      <c r="AU21" s="628"/>
      <c r="AV21" s="628"/>
      <c r="AW21" s="628"/>
      <c r="AX21" s="628"/>
      <c r="AY21" s="628"/>
      <c r="AZ21" s="628"/>
      <c r="BA21" s="628"/>
      <c r="BB21" s="628"/>
      <c r="BC21" s="111">
        <f>ROW()</f>
        <v>21</v>
      </c>
      <c r="BD21" s="112" t="s">
        <v>80</v>
      </c>
      <c r="BF21" s="372"/>
      <c r="BG21" s="372"/>
      <c r="BH21" s="372"/>
      <c r="BI21" s="372"/>
      <c r="BJ21" s="414"/>
      <c r="BK21" s="372"/>
      <c r="BL21" s="414"/>
      <c r="BM21" s="372"/>
      <c r="BN21" s="414"/>
      <c r="BO21" s="372"/>
      <c r="BP21" s="414"/>
      <c r="BQ21" s="414"/>
      <c r="BR21" s="414"/>
      <c r="BS21" s="372"/>
      <c r="BT21" s="414"/>
      <c r="BU21" s="111">
        <f>ROW()</f>
        <v>21</v>
      </c>
      <c r="BV21" s="159" t="s">
        <v>246</v>
      </c>
      <c r="BX21" s="436">
        <v>0</v>
      </c>
      <c r="BY21" s="627">
        <f>+BY16*BY20</f>
        <v>76545440.840769768</v>
      </c>
      <c r="BZ21" s="439">
        <f>+BZ16*BZ20</f>
        <v>76545440.840769768</v>
      </c>
      <c r="CA21" s="626">
        <f>+CA16*CA20</f>
        <v>-2841022.2212117398</v>
      </c>
      <c r="CB21" s="439">
        <f>+CB16*CB20</f>
        <v>73704418.619558021</v>
      </c>
      <c r="CC21" s="439">
        <f>CD21-CB21</f>
        <v>2586364.2906200439</v>
      </c>
      <c r="CD21" s="439">
        <f>+CD16*CD20</f>
        <v>76290782.910178065</v>
      </c>
      <c r="CE21" s="439">
        <f>CF21-CD21</f>
        <v>2538076.8959379792</v>
      </c>
      <c r="CF21" s="439">
        <f>+CF16*CF20</f>
        <v>78828859.806116045</v>
      </c>
      <c r="CG21" s="439">
        <f>CH21-CF21</f>
        <v>479793.99867419899</v>
      </c>
      <c r="CH21" s="439">
        <f>+CH16*CH20</f>
        <v>79308653.804790244</v>
      </c>
      <c r="CI21" s="439">
        <f t="shared" ref="CI21:CL21" si="61">+CI16*CI20</f>
        <v>0</v>
      </c>
      <c r="CJ21" s="439">
        <f t="shared" si="61"/>
        <v>0</v>
      </c>
      <c r="CK21" s="439">
        <f t="shared" si="61"/>
        <v>0</v>
      </c>
      <c r="CL21" s="439">
        <f t="shared" si="61"/>
        <v>0</v>
      </c>
      <c r="CM21" s="111">
        <f>ROW()</f>
        <v>21</v>
      </c>
      <c r="DE21" s="111">
        <f>ROW()</f>
        <v>21</v>
      </c>
      <c r="DF21" s="1" t="s">
        <v>270</v>
      </c>
      <c r="DG21" s="186">
        <v>0.21</v>
      </c>
      <c r="DH21" s="267">
        <f>-DH19*$DG$21</f>
        <v>-230334.50759970001</v>
      </c>
      <c r="DI21" s="267">
        <f>-DI19*$DG$21</f>
        <v>-48755.492400299991</v>
      </c>
      <c r="DJ21" s="267">
        <f>DH21+DI21</f>
        <v>-279090</v>
      </c>
      <c r="DK21" s="267">
        <f>-DK19*$DG$21</f>
        <v>0</v>
      </c>
      <c r="DL21" s="267">
        <f>DJ21+DK21</f>
        <v>-279090</v>
      </c>
      <c r="DM21" s="267">
        <f>-DM19*$DG$21</f>
        <v>0</v>
      </c>
      <c r="DN21" s="267">
        <f>DL21+DM21</f>
        <v>-279090</v>
      </c>
      <c r="DO21" s="267">
        <f>-DO19*$DG$21</f>
        <v>0</v>
      </c>
      <c r="DP21" s="267">
        <f>DN21+DO21</f>
        <v>-279090</v>
      </c>
      <c r="DQ21" s="267">
        <f>-DQ19*$DG$21</f>
        <v>0</v>
      </c>
      <c r="DR21" s="267">
        <f>DP21+DQ21</f>
        <v>-279090</v>
      </c>
      <c r="DS21" s="267"/>
      <c r="DT21" s="267"/>
      <c r="DU21" s="267"/>
      <c r="DV21" s="267"/>
      <c r="DW21" s="111">
        <f>ROW()</f>
        <v>21</v>
      </c>
      <c r="DX21" s="112" t="s">
        <v>254</v>
      </c>
      <c r="DY21" s="112"/>
      <c r="DZ21" s="384">
        <f t="shared" ref="DZ21:EJ21" si="62">-DZ19-DZ20</f>
        <v>-40680519.642190002</v>
      </c>
      <c r="EA21" s="384">
        <f t="shared" si="62"/>
        <v>-678.41161519914863</v>
      </c>
      <c r="EB21" s="384">
        <f t="shared" si="62"/>
        <v>-40681198.053805202</v>
      </c>
      <c r="EC21" s="384">
        <f t="shared" si="62"/>
        <v>0</v>
      </c>
      <c r="ED21" s="384">
        <f t="shared" si="62"/>
        <v>-40681198.053805202</v>
      </c>
      <c r="EE21" s="384">
        <f t="shared" si="62"/>
        <v>0</v>
      </c>
      <c r="EF21" s="384">
        <f t="shared" si="62"/>
        <v>-40681198.053805202</v>
      </c>
      <c r="EG21" s="384">
        <f t="shared" si="62"/>
        <v>0</v>
      </c>
      <c r="EH21" s="384">
        <f t="shared" si="62"/>
        <v>-40681198.053805202</v>
      </c>
      <c r="EI21" s="384">
        <f t="shared" si="62"/>
        <v>0</v>
      </c>
      <c r="EJ21" s="384">
        <f t="shared" si="62"/>
        <v>-40681198.053805202</v>
      </c>
      <c r="EK21" s="384"/>
      <c r="EL21" s="384"/>
      <c r="EM21" s="384"/>
      <c r="EN21" s="384"/>
      <c r="EO21" s="111">
        <f>ROW()</f>
        <v>21</v>
      </c>
      <c r="EP21" s="187" t="s">
        <v>250</v>
      </c>
      <c r="EQ21" s="430">
        <v>0.46577095547807479</v>
      </c>
      <c r="ER21" s="184">
        <f>ER19*EQ21</f>
        <v>6123580.8824731372</v>
      </c>
      <c r="ES21" s="170">
        <f>ET21-ER21</f>
        <v>-17289.176081915386</v>
      </c>
      <c r="ET21" s="170">
        <f>ET19*EQ21</f>
        <v>6106291.7063912218</v>
      </c>
      <c r="EU21" s="170">
        <f>EV21-ET21</f>
        <v>257699.55792073626</v>
      </c>
      <c r="EV21" s="170">
        <f>EV19*EQ21</f>
        <v>6363991.2643119581</v>
      </c>
      <c r="EW21" s="184"/>
      <c r="EX21" s="170">
        <f>SUM(EV21:EW21)</f>
        <v>6363991.2643119581</v>
      </c>
      <c r="EY21" s="184"/>
      <c r="EZ21" s="170">
        <f>SUM(EX21:EY21)</f>
        <v>6363991.2643119581</v>
      </c>
      <c r="FA21" s="184"/>
      <c r="FB21" s="170">
        <f>SUM(EZ21:FA21)</f>
        <v>6363991.2643119581</v>
      </c>
      <c r="FC21" s="170"/>
      <c r="FD21" s="170"/>
      <c r="FE21" s="184"/>
      <c r="FF21" s="170"/>
      <c r="FG21" s="111">
        <f>ROW()</f>
        <v>21</v>
      </c>
      <c r="FH21" s="1" t="s">
        <v>239</v>
      </c>
      <c r="FI21" s="135">
        <v>0.21</v>
      </c>
      <c r="FJ21" s="625">
        <f>-$FI$21*FJ20</f>
        <v>-93460.504441038735</v>
      </c>
      <c r="FK21" s="625">
        <f>-FI21*FK20</f>
        <v>5048.9460901443017</v>
      </c>
      <c r="FL21" s="176">
        <f>FJ21+FK21</f>
        <v>-88411.558350894426</v>
      </c>
      <c r="FM21" s="625"/>
      <c r="FN21" s="176">
        <f>FL21+FM21</f>
        <v>-88411.558350894426</v>
      </c>
      <c r="FO21" s="625"/>
      <c r="FP21" s="176">
        <f>FN21+FO21</f>
        <v>-88411.558350894426</v>
      </c>
      <c r="FQ21" s="625"/>
      <c r="FR21" s="176">
        <f>FP21+FQ21</f>
        <v>-88411.558350894426</v>
      </c>
      <c r="FS21" s="625"/>
      <c r="FT21" s="176">
        <f>FR21+FS21</f>
        <v>-88411.558350894426</v>
      </c>
      <c r="FU21" s="176"/>
      <c r="FV21" s="176"/>
      <c r="FW21" s="625"/>
      <c r="FX21" s="176"/>
      <c r="FY21" s="111">
        <f>ROW()</f>
        <v>21</v>
      </c>
      <c r="FZ21" s="249" t="s">
        <v>237</v>
      </c>
      <c r="GB21" s="134">
        <v>1969955.3996552667</v>
      </c>
      <c r="GC21" s="134">
        <v>-663619.96648559347</v>
      </c>
      <c r="GD21" s="134">
        <f t="shared" si="11"/>
        <v>1306335.4331696732</v>
      </c>
      <c r="GE21" s="134">
        <v>102514.21329824883</v>
      </c>
      <c r="GF21" s="134">
        <f t="shared" si="12"/>
        <v>1408849.646467922</v>
      </c>
      <c r="GG21" s="134">
        <v>44973.15213659755</v>
      </c>
      <c r="GH21" s="134">
        <f t="shared" si="13"/>
        <v>1453822.7986045196</v>
      </c>
      <c r="GI21" s="134">
        <v>10668.579249151284</v>
      </c>
      <c r="GJ21" s="134">
        <f t="shared" si="14"/>
        <v>1464491.3778536709</v>
      </c>
      <c r="GK21" s="134">
        <v>844.07238474977203</v>
      </c>
      <c r="GL21" s="134">
        <f t="shared" si="15"/>
        <v>1465335.4502384206</v>
      </c>
      <c r="GM21" s="134"/>
      <c r="GN21" s="134"/>
      <c r="GO21" s="134"/>
      <c r="GP21" s="134"/>
      <c r="GQ21" s="111">
        <f>ROW()</f>
        <v>21</v>
      </c>
      <c r="GS21" s="182"/>
      <c r="GT21" s="175"/>
      <c r="GU21" s="175"/>
      <c r="GV21" s="175"/>
      <c r="GW21" s="175"/>
      <c r="GX21" s="175"/>
      <c r="GY21" s="175"/>
      <c r="GZ21" s="175"/>
      <c r="HA21" s="175"/>
      <c r="HB21" s="175"/>
      <c r="HC21" s="175"/>
      <c r="HD21" s="175"/>
      <c r="HE21" s="175"/>
      <c r="HF21" s="175"/>
      <c r="HG21" s="175"/>
      <c r="HH21" s="175"/>
      <c r="HQ21" s="121"/>
      <c r="HR21" s="121"/>
      <c r="HS21" s="121"/>
      <c r="HT21" s="121"/>
      <c r="HU21" s="121"/>
      <c r="HV21" s="121"/>
      <c r="HW21" s="121"/>
      <c r="HX21" s="121"/>
      <c r="HY21" s="121"/>
      <c r="HZ21" s="121"/>
      <c r="IA21" s="111">
        <f>ROW()</f>
        <v>21</v>
      </c>
      <c r="IB21" s="112" t="s">
        <v>224</v>
      </c>
      <c r="ID21" s="624">
        <f t="shared" ref="ID21:IN21" si="63">-ID18-ID20</f>
        <v>-3032615.0002533039</v>
      </c>
      <c r="IE21" s="624">
        <f t="shared" si="63"/>
        <v>-435005.0623120963</v>
      </c>
      <c r="IF21" s="624">
        <f t="shared" si="63"/>
        <v>-3467620.0625654003</v>
      </c>
      <c r="IG21" s="624">
        <f t="shared" si="63"/>
        <v>0</v>
      </c>
      <c r="IH21" s="624">
        <f t="shared" si="63"/>
        <v>-3467620.0625654003</v>
      </c>
      <c r="II21" s="624">
        <f t="shared" si="63"/>
        <v>0</v>
      </c>
      <c r="IJ21" s="624">
        <f t="shared" si="63"/>
        <v>-3467620.0625654003</v>
      </c>
      <c r="IK21" s="624">
        <f t="shared" si="63"/>
        <v>0</v>
      </c>
      <c r="IL21" s="624">
        <f t="shared" si="63"/>
        <v>-3467620.0625654003</v>
      </c>
      <c r="IM21" s="624">
        <f t="shared" si="63"/>
        <v>0</v>
      </c>
      <c r="IN21" s="624">
        <f t="shared" si="63"/>
        <v>-3467620.0625654003</v>
      </c>
      <c r="IO21" s="624"/>
      <c r="IP21" s="624"/>
      <c r="IQ21" s="624"/>
      <c r="IR21" s="624"/>
      <c r="IS21" s="111">
        <f>ROW()</f>
        <v>21</v>
      </c>
      <c r="IT21" s="131" t="s">
        <v>230</v>
      </c>
      <c r="IU21" s="135">
        <v>0.21</v>
      </c>
      <c r="IV21" s="121">
        <f t="shared" ref="IV21:JF21" si="64">-$IU$21*IV19</f>
        <v>-193895.79299999995</v>
      </c>
      <c r="IW21" s="121">
        <f t="shared" si="64"/>
        <v>-206822.26670000007</v>
      </c>
      <c r="IX21" s="121">
        <f t="shared" si="64"/>
        <v>-400718.05970000004</v>
      </c>
      <c r="IY21" s="121">
        <f t="shared" si="64"/>
        <v>0</v>
      </c>
      <c r="IZ21" s="121">
        <f t="shared" si="64"/>
        <v>-400718.05970000004</v>
      </c>
      <c r="JA21" s="121">
        <f t="shared" si="64"/>
        <v>0</v>
      </c>
      <c r="JB21" s="121">
        <f t="shared" si="64"/>
        <v>-400718.05970000004</v>
      </c>
      <c r="JC21" s="121">
        <f t="shared" si="64"/>
        <v>0</v>
      </c>
      <c r="JD21" s="121">
        <f t="shared" si="64"/>
        <v>-400718.05970000004</v>
      </c>
      <c r="JE21" s="121">
        <f t="shared" si="64"/>
        <v>394254.84705833258</v>
      </c>
      <c r="JF21" s="121">
        <f t="shared" si="64"/>
        <v>-6463.21264166743</v>
      </c>
      <c r="JG21" s="121"/>
      <c r="JH21" s="121"/>
      <c r="JI21" s="121"/>
      <c r="JJ21" s="121"/>
      <c r="JK21" s="111">
        <f>ROW()</f>
        <v>21</v>
      </c>
      <c r="JL21" s="112"/>
      <c r="KC21" s="111"/>
      <c r="KU21" s="111">
        <f>ROW()</f>
        <v>21</v>
      </c>
      <c r="KV21" s="249" t="s">
        <v>237</v>
      </c>
      <c r="KW21" s="232"/>
      <c r="KX21" s="134">
        <v>28470220.649934221</v>
      </c>
      <c r="KY21" s="134">
        <v>949028.27199034393</v>
      </c>
      <c r="KZ21" s="181">
        <f t="shared" si="21"/>
        <v>29419248.921924565</v>
      </c>
      <c r="LA21" s="134">
        <v>0</v>
      </c>
      <c r="LB21" s="181">
        <f t="shared" si="22"/>
        <v>29419248.921924565</v>
      </c>
      <c r="LC21" s="134">
        <v>0</v>
      </c>
      <c r="LD21" s="181">
        <f t="shared" si="23"/>
        <v>29419248.921924565</v>
      </c>
      <c r="LE21" s="134">
        <v>0</v>
      </c>
      <c r="LF21" s="181">
        <f t="shared" si="24"/>
        <v>29419248.921924565</v>
      </c>
      <c r="LG21" s="134">
        <v>0</v>
      </c>
      <c r="LH21" s="181">
        <f t="shared" si="25"/>
        <v>29419248.921924565</v>
      </c>
      <c r="LI21" s="134">
        <v>0</v>
      </c>
      <c r="LJ21" s="181"/>
      <c r="LK21" s="134">
        <v>0</v>
      </c>
      <c r="LL21" s="181">
        <f t="shared" si="25"/>
        <v>0</v>
      </c>
      <c r="LM21" s="111">
        <f>ROW()</f>
        <v>21</v>
      </c>
      <c r="LN21" s="1" t="s">
        <v>130</v>
      </c>
      <c r="LP21" s="729">
        <v>-1782190.3299845832</v>
      </c>
      <c r="LQ21" s="729">
        <v>581492.75057958323</v>
      </c>
      <c r="LR21" s="177">
        <f t="shared" si="0"/>
        <v>-1200697.579405</v>
      </c>
      <c r="LS21" s="177"/>
      <c r="LT21" s="177">
        <f t="shared" si="1"/>
        <v>-1200697.579405</v>
      </c>
      <c r="LU21" s="177"/>
      <c r="LV21" s="177">
        <f t="shared" si="2"/>
        <v>-1200697.579405</v>
      </c>
      <c r="LW21" s="177"/>
      <c r="LX21" s="177">
        <f t="shared" si="3"/>
        <v>-1200697.579405</v>
      </c>
      <c r="LY21" s="177"/>
      <c r="LZ21" s="177">
        <f t="shared" si="4"/>
        <v>-1200697.579405</v>
      </c>
      <c r="MA21" s="177"/>
      <c r="MB21" s="177"/>
      <c r="MC21" s="177"/>
      <c r="MD21" s="177">
        <f t="shared" si="4"/>
        <v>0</v>
      </c>
      <c r="ME21" s="111">
        <f>ROW()</f>
        <v>21</v>
      </c>
      <c r="MF21" s="117" t="s">
        <v>251</v>
      </c>
      <c r="MH21" s="121">
        <v>317695.93</v>
      </c>
      <c r="MI21" s="121">
        <v>-317695.93</v>
      </c>
      <c r="MJ21" s="121">
        <f t="shared" ref="MJ21:MJ24" si="65">MH21+MI21</f>
        <v>0</v>
      </c>
      <c r="MK21" s="121">
        <v>0</v>
      </c>
      <c r="ML21" s="121">
        <f>MJ21+MK21</f>
        <v>0</v>
      </c>
      <c r="MM21" s="121"/>
      <c r="MN21" s="121">
        <f>ML21+MM21</f>
        <v>0</v>
      </c>
      <c r="MO21" s="121"/>
      <c r="MP21" s="121">
        <f>MN21+MO21</f>
        <v>0</v>
      </c>
      <c r="MQ21" s="121"/>
      <c r="MR21" s="121">
        <f>MP21+MQ21</f>
        <v>0</v>
      </c>
      <c r="MS21" s="121"/>
      <c r="MT21" s="121"/>
      <c r="MU21" s="121"/>
      <c r="MV21" s="121"/>
      <c r="MW21" s="111">
        <f>ROW()</f>
        <v>21</v>
      </c>
      <c r="MX21" s="618" t="s">
        <v>249</v>
      </c>
      <c r="MY21" s="220">
        <f>FIT</f>
        <v>0.21</v>
      </c>
      <c r="MZ21" s="113">
        <f t="shared" ref="MZ21:NB21" si="66">(-MZ20*$MY$21)</f>
        <v>-1112824.2111</v>
      </c>
      <c r="NA21" s="113">
        <f t="shared" si="66"/>
        <v>3833.2328075999299</v>
      </c>
      <c r="NB21" s="113">
        <f t="shared" si="66"/>
        <v>-1108990.9782924</v>
      </c>
      <c r="NC21" s="121">
        <f>-$MW$20*NC20</f>
        <v>0</v>
      </c>
      <c r="ND21" s="121">
        <f>SUM(NB21:NC21)</f>
        <v>-1108990.9782924</v>
      </c>
      <c r="NE21" s="121">
        <f>-$MW$20*NE20</f>
        <v>0</v>
      </c>
      <c r="NF21" s="121">
        <f>SUM(ND21:NE21)</f>
        <v>-1108990.9782924</v>
      </c>
      <c r="NG21" s="121">
        <f>-$MW$20*NG20</f>
        <v>0</v>
      </c>
      <c r="NH21" s="121">
        <f>SUM(NF21:NG21)</f>
        <v>-1108990.9782924</v>
      </c>
      <c r="NI21" s="121">
        <f>-$MW$20*NI20</f>
        <v>0</v>
      </c>
      <c r="NJ21" s="121">
        <f>SUM(NH21:NI21)</f>
        <v>-1108990.9782924</v>
      </c>
      <c r="NK21" s="121">
        <f>-$MW$20*NK20</f>
        <v>0</v>
      </c>
      <c r="NL21" s="121"/>
      <c r="NM21" s="121">
        <f>-$MW$20*NM20</f>
        <v>0</v>
      </c>
      <c r="NN21" s="121">
        <f>SUM(NL21:NM21)</f>
        <v>0</v>
      </c>
      <c r="NO21" s="111">
        <f>ROW()</f>
        <v>21</v>
      </c>
      <c r="NP21" s="112" t="s">
        <v>64</v>
      </c>
      <c r="NR21" s="623"/>
      <c r="NS21" s="623"/>
      <c r="NT21" s="623"/>
      <c r="NU21" s="623"/>
      <c r="NV21" s="623"/>
      <c r="NW21" s="623"/>
      <c r="NX21" s="623">
        <f>'Summary DPK-7 '!I35</f>
        <v>0</v>
      </c>
      <c r="NY21" s="623">
        <f>'O&amp;M'!L159</f>
        <v>0</v>
      </c>
      <c r="NZ21" s="623">
        <f t="shared" si="27"/>
        <v>0</v>
      </c>
      <c r="OA21" s="623">
        <f>'O&amp;M'!M159</f>
        <v>0</v>
      </c>
      <c r="OB21" s="623">
        <f t="shared" si="28"/>
        <v>0</v>
      </c>
      <c r="OC21" s="623"/>
      <c r="OD21" s="623"/>
      <c r="OE21" s="623"/>
      <c r="OF21" s="623"/>
      <c r="OG21" s="111">
        <f>ROW()</f>
        <v>21</v>
      </c>
      <c r="OH21" s="121" t="s">
        <v>998</v>
      </c>
      <c r="OI21" s="121"/>
      <c r="OJ21" s="380">
        <f t="shared" ref="OJ21:ON21" si="67">SUM(OJ18:OJ20)</f>
        <v>28019480.875479184</v>
      </c>
      <c r="OK21" s="380">
        <f t="shared" si="67"/>
        <v>0</v>
      </c>
      <c r="OL21" s="380">
        <f t="shared" si="67"/>
        <v>28019480.875479184</v>
      </c>
      <c r="OM21" s="380">
        <f t="shared" si="67"/>
        <v>-28019480.875479184</v>
      </c>
      <c r="ON21" s="380">
        <f t="shared" si="67"/>
        <v>0</v>
      </c>
      <c r="OO21" s="380"/>
      <c r="OP21" s="380"/>
      <c r="OQ21" s="380"/>
      <c r="OR21" s="380"/>
      <c r="OS21" s="380"/>
      <c r="OT21" s="380"/>
      <c r="OU21" s="380"/>
      <c r="OV21" s="380"/>
      <c r="OW21" s="380"/>
      <c r="OX21" s="380"/>
      <c r="OY21" s="111">
        <f>ROW()</f>
        <v>21</v>
      </c>
      <c r="OZ21" s="112" t="s">
        <v>970</v>
      </c>
      <c r="PA21" s="172"/>
      <c r="PB21" s="788">
        <f>SUM(PB18:PB20)</f>
        <v>116819973.56718999</v>
      </c>
      <c r="PC21" s="788">
        <f t="shared" ref="PC21:PL21" si="68">SUM(PC18:PC20)</f>
        <v>-75215094.712953344</v>
      </c>
      <c r="PD21" s="406">
        <f t="shared" si="68"/>
        <v>41604878.854236647</v>
      </c>
      <c r="PE21" s="406">
        <f t="shared" si="68"/>
        <v>75215094.712953344</v>
      </c>
      <c r="PF21" s="406">
        <f t="shared" si="68"/>
        <v>116819973.56718999</v>
      </c>
      <c r="PG21" s="406">
        <f t="shared" si="68"/>
        <v>0</v>
      </c>
      <c r="PH21" s="406">
        <f t="shared" si="68"/>
        <v>116819973.56718999</v>
      </c>
      <c r="PI21" s="406">
        <f t="shared" si="68"/>
        <v>0</v>
      </c>
      <c r="PJ21" s="788">
        <f t="shared" si="68"/>
        <v>116819973.56718999</v>
      </c>
      <c r="PK21" s="406">
        <f t="shared" si="68"/>
        <v>0</v>
      </c>
      <c r="PL21" s="788">
        <f t="shared" si="68"/>
        <v>116819973.56718999</v>
      </c>
      <c r="PM21" s="710"/>
      <c r="PN21" s="710"/>
      <c r="PO21" s="429"/>
      <c r="PP21" s="429"/>
      <c r="PQ21" s="111">
        <f>ROW()</f>
        <v>21</v>
      </c>
      <c r="PR21" s="918" t="s">
        <v>224</v>
      </c>
      <c r="PS21" s="163"/>
      <c r="PT21" s="429">
        <f>-PT18-PT20</f>
        <v>-4256142.4510999974</v>
      </c>
      <c r="PU21" s="429">
        <f t="shared" ref="PU21:QD21" si="69">-PU18-PU20</f>
        <v>-267705.11489864736</v>
      </c>
      <c r="PV21" s="429">
        <f t="shared" si="69"/>
        <v>-4523847.5659986455</v>
      </c>
      <c r="PW21" s="429">
        <f t="shared" si="69"/>
        <v>8365.7662636469395</v>
      </c>
      <c r="PX21" s="429">
        <f t="shared" si="69"/>
        <v>-4515481.7997349985</v>
      </c>
      <c r="PY21" s="429">
        <f t="shared" si="69"/>
        <v>-8365.7772850000765</v>
      </c>
      <c r="PZ21" s="429">
        <f t="shared" si="69"/>
        <v>-4523847.5770199979</v>
      </c>
      <c r="QA21" s="429">
        <f t="shared" si="69"/>
        <v>1366472.8491678936</v>
      </c>
      <c r="QB21" s="429">
        <f t="shared" si="69"/>
        <v>-3157374.7278521042</v>
      </c>
      <c r="QC21" s="429">
        <f t="shared" si="69"/>
        <v>1413394.9515225352</v>
      </c>
      <c r="QD21" s="429">
        <f t="shared" si="69"/>
        <v>-1743979.7763295693</v>
      </c>
      <c r="QE21" s="429">
        <f t="shared" ref="QE21" si="70">-QE18-QE20</f>
        <v>0</v>
      </c>
      <c r="QF21" s="429">
        <f t="shared" ref="QF21" si="71">-QF18-QF20</f>
        <v>0</v>
      </c>
      <c r="QG21" s="429">
        <f t="shared" ref="QG21" si="72">-QG18-QG20</f>
        <v>0</v>
      </c>
      <c r="QH21" s="429">
        <f t="shared" ref="QH21" si="73">-QH18-QH20</f>
        <v>0</v>
      </c>
      <c r="QJ21" s="336"/>
      <c r="QK21" s="329"/>
      <c r="QL21" s="329"/>
      <c r="RB21" s="336">
        <f>ROW()</f>
        <v>21</v>
      </c>
      <c r="RC21" s="329" t="s">
        <v>241</v>
      </c>
      <c r="RD21" s="329"/>
      <c r="RE21" s="337"/>
      <c r="RF21" s="337"/>
      <c r="RG21" s="356">
        <f t="shared" ref="RG21:RO21" si="74">SUM(RG17:RG20)</f>
        <v>193790199.03447071</v>
      </c>
      <c r="RH21" s="356">
        <f t="shared" si="74"/>
        <v>377748.07468491048</v>
      </c>
      <c r="RI21" s="356">
        <f t="shared" si="74"/>
        <v>194167947.10915563</v>
      </c>
      <c r="RJ21" s="356">
        <f t="shared" si="74"/>
        <v>-1968389.0846907347</v>
      </c>
      <c r="RK21" s="356">
        <f t="shared" si="74"/>
        <v>192199558.02446488</v>
      </c>
      <c r="RL21" s="356">
        <f t="shared" si="74"/>
        <v>67398212.778005093</v>
      </c>
      <c r="RM21" s="356">
        <f t="shared" si="74"/>
        <v>259597770.80246997</v>
      </c>
      <c r="RN21" s="356">
        <f t="shared" si="74"/>
        <v>-9019326.4874949716</v>
      </c>
      <c r="RO21" s="356">
        <f t="shared" si="74"/>
        <v>250578444.31497499</v>
      </c>
      <c r="RP21" s="356"/>
      <c r="RQ21" s="356"/>
      <c r="RR21" s="356"/>
      <c r="RS21" s="356"/>
      <c r="RT21" s="345">
        <f>ROW()</f>
        <v>21</v>
      </c>
      <c r="RU21" s="329" t="s">
        <v>996</v>
      </c>
      <c r="RV21" s="241"/>
      <c r="RW21" s="366"/>
      <c r="RX21" s="366"/>
      <c r="RY21" s="366"/>
      <c r="RZ21" s="265"/>
      <c r="SA21" s="265">
        <f>RZ21+RY21</f>
        <v>0</v>
      </c>
      <c r="SB21" s="265"/>
      <c r="SC21" s="265">
        <f>SB21+SA21</f>
        <v>0</v>
      </c>
      <c r="SD21" s="265"/>
      <c r="SE21" s="265">
        <f>SD21+SC21</f>
        <v>0</v>
      </c>
      <c r="SF21" s="265"/>
      <c r="SG21" s="265">
        <f>SF21+SE21</f>
        <v>0</v>
      </c>
      <c r="SH21" s="265"/>
      <c r="SI21" s="265"/>
      <c r="SJ21" s="265"/>
      <c r="SK21" s="265"/>
      <c r="SL21" s="336">
        <f>ROW()</f>
        <v>21</v>
      </c>
      <c r="SM21" s="329"/>
      <c r="SN21" s="338"/>
      <c r="SO21" s="356"/>
      <c r="SP21" s="356"/>
      <c r="SQ21" s="356"/>
      <c r="SR21" s="356"/>
      <c r="SS21" s="356"/>
      <c r="ST21" s="356"/>
      <c r="SU21" s="356"/>
      <c r="SV21" s="356"/>
      <c r="SW21" s="356"/>
      <c r="SX21" s="356"/>
      <c r="SY21" s="356"/>
      <c r="SZ21" s="356"/>
      <c r="TA21" s="356"/>
      <c r="TB21" s="525"/>
      <c r="TC21" s="525"/>
      <c r="TE21" s="336">
        <f>ROW()</f>
        <v>21</v>
      </c>
      <c r="TF21" s="464" t="s">
        <v>1432</v>
      </c>
      <c r="TG21" s="873"/>
      <c r="TH21" s="874">
        <f t="shared" ref="TH21:TR21" si="75">SUM(TH18:TH20)</f>
        <v>87457</v>
      </c>
      <c r="TI21" s="874">
        <f t="shared" si="75"/>
        <v>-87457</v>
      </c>
      <c r="TJ21" s="874">
        <f t="shared" si="75"/>
        <v>0</v>
      </c>
      <c r="TK21" s="874">
        <f t="shared" si="75"/>
        <v>0</v>
      </c>
      <c r="TL21" s="874">
        <f t="shared" si="75"/>
        <v>0</v>
      </c>
      <c r="TM21" s="874">
        <f t="shared" si="75"/>
        <v>0</v>
      </c>
      <c r="TN21" s="874">
        <f t="shared" si="75"/>
        <v>0</v>
      </c>
      <c r="TO21" s="874">
        <f t="shared" si="75"/>
        <v>62000</v>
      </c>
      <c r="TP21" s="874">
        <f t="shared" si="75"/>
        <v>62000</v>
      </c>
      <c r="TQ21" s="874">
        <f t="shared" si="75"/>
        <v>0</v>
      </c>
      <c r="TR21" s="874">
        <f t="shared" si="75"/>
        <v>62000</v>
      </c>
      <c r="TS21"/>
      <c r="TT21"/>
      <c r="TU21"/>
      <c r="TV21"/>
      <c r="TW21"/>
      <c r="TX21" s="336">
        <f>ROW()</f>
        <v>21</v>
      </c>
      <c r="TY21" s="238" t="s">
        <v>154</v>
      </c>
      <c r="TZ21" s="132">
        <f>+'Def, COC, ConvF DPK-7 '!P12</f>
        <v>2.8909999999999999E-3</v>
      </c>
      <c r="UA21" s="121">
        <f>+UA19*TZ21</f>
        <v>0</v>
      </c>
      <c r="UB21" s="121">
        <f t="shared" ref="UB21:UB23" si="76">-UA21</f>
        <v>0</v>
      </c>
      <c r="UQ21" s="345">
        <f>ROW()</f>
        <v>21</v>
      </c>
      <c r="UR21" s="834" t="s">
        <v>296</v>
      </c>
      <c r="UT21" s="121"/>
      <c r="UU21" s="121"/>
      <c r="UV21" s="121"/>
      <c r="UW21" s="121"/>
      <c r="UX21" s="121"/>
      <c r="UY21" s="121"/>
      <c r="UZ21" s="121"/>
      <c r="VA21" s="121"/>
      <c r="VB21" s="121"/>
      <c r="VC21" s="121"/>
      <c r="VD21" s="121"/>
      <c r="VJ21" s="345">
        <f>ROW()</f>
        <v>21</v>
      </c>
      <c r="VP21" s="178"/>
      <c r="VR21" s="178"/>
      <c r="VS21" s="114"/>
      <c r="VT21" s="178"/>
      <c r="VU21" s="114"/>
      <c r="VV21" s="178"/>
      <c r="VW21" s="114"/>
      <c r="VY21" s="345">
        <f>ROW()</f>
        <v>21</v>
      </c>
      <c r="VZ21" s="232" t="s">
        <v>224</v>
      </c>
      <c r="WB21" s="924">
        <f t="shared" ref="WB21:WL21" si="77">-WB18-WB20</f>
        <v>0</v>
      </c>
      <c r="WC21" s="924">
        <f t="shared" si="77"/>
        <v>0</v>
      </c>
      <c r="WD21" s="924">
        <f t="shared" si="77"/>
        <v>0</v>
      </c>
      <c r="WE21" s="924">
        <f t="shared" si="77"/>
        <v>0</v>
      </c>
      <c r="WF21" s="924">
        <f t="shared" si="77"/>
        <v>0</v>
      </c>
      <c r="WG21" s="924">
        <f t="shared" si="77"/>
        <v>0</v>
      </c>
      <c r="WH21" s="924">
        <f t="shared" si="77"/>
        <v>0</v>
      </c>
      <c r="WI21" s="924">
        <f t="shared" si="77"/>
        <v>-318969.52152150846</v>
      </c>
      <c r="WJ21" s="924">
        <f t="shared" si="77"/>
        <v>-318969.52152150846</v>
      </c>
      <c r="WK21" s="924">
        <f t="shared" si="77"/>
        <v>-11163.933253252708</v>
      </c>
      <c r="WL21" s="924">
        <f t="shared" si="77"/>
        <v>-330133.45477476122</v>
      </c>
    </row>
    <row r="22" spans="1:610" ht="16.5" thickTop="1" thickBot="1" x14ac:dyDescent="0.4">
      <c r="A22" s="111">
        <f>ROW()</f>
        <v>22</v>
      </c>
      <c r="B22" t="s">
        <v>1462</v>
      </c>
      <c r="C22" s="1188" t="s">
        <v>1869</v>
      </c>
      <c r="D22" s="1192"/>
      <c r="E22" s="1192">
        <f>'GAS COS Revenues'!$D$50</f>
        <v>44651001.892138109</v>
      </c>
      <c r="F22" s="1189"/>
      <c r="G22" s="1193"/>
      <c r="H22" s="1189"/>
      <c r="I22" s="1193"/>
      <c r="J22" s="1191"/>
      <c r="K22" s="1193"/>
      <c r="L22" s="1193"/>
      <c r="M22" s="1193"/>
      <c r="N22" s="189"/>
      <c r="O22" s="189"/>
      <c r="P22" s="189"/>
      <c r="Q22" s="189"/>
      <c r="R22" s="189"/>
      <c r="S22" s="111">
        <f>ROW()</f>
        <v>22</v>
      </c>
      <c r="T22" s="238" t="s">
        <v>997</v>
      </c>
      <c r="U22" s="239"/>
      <c r="V22" s="121">
        <f t="shared" si="5"/>
        <v>1637721.5100000002</v>
      </c>
      <c r="W22" s="134">
        <f>'GAS COS Revenues'!$E$11</f>
        <v>-1637721.5100000002</v>
      </c>
      <c r="X22" s="134"/>
      <c r="Y22" s="134"/>
      <c r="Z22" s="134">
        <f t="shared" si="6"/>
        <v>0</v>
      </c>
      <c r="AA22" s="134"/>
      <c r="AB22" s="134">
        <f t="shared" si="7"/>
        <v>0</v>
      </c>
      <c r="AC22" s="134"/>
      <c r="AD22" s="134">
        <f t="shared" si="8"/>
        <v>0</v>
      </c>
      <c r="AE22" s="134"/>
      <c r="AF22" s="134">
        <f t="shared" si="9"/>
        <v>0</v>
      </c>
      <c r="AG22" s="134"/>
      <c r="AH22" s="134"/>
      <c r="AI22" s="134"/>
      <c r="AJ22" s="134"/>
      <c r="AK22" s="111">
        <f>ROW()</f>
        <v>22</v>
      </c>
      <c r="AL22" s="112" t="s">
        <v>252</v>
      </c>
      <c r="AM22" s="188">
        <f>'Def, COC, ConvF DPK-7 '!P12</f>
        <v>2.8909999999999999E-3</v>
      </c>
      <c r="AN22" s="189">
        <f>$AN$20*$AM22</f>
        <v>21996.634819348998</v>
      </c>
      <c r="AO22" s="189">
        <f>AO$20*$AM22</f>
        <v>-261.9135279405599</v>
      </c>
      <c r="AP22" s="189">
        <f>$AP$20*$AM22</f>
        <v>21734.721291408438</v>
      </c>
      <c r="AQ22" s="189">
        <f>AQ$20*$AM22</f>
        <v>-67810.879467156628</v>
      </c>
      <c r="AR22" s="189">
        <f>AR20*AM22</f>
        <v>234461.35833565457</v>
      </c>
      <c r="AS22" s="189"/>
      <c r="AT22" s="189"/>
      <c r="AU22" s="189"/>
      <c r="AV22" s="189"/>
      <c r="AW22" s="189"/>
      <c r="AX22" s="189"/>
      <c r="AY22" s="189"/>
      <c r="AZ22" s="189"/>
      <c r="BA22" s="189"/>
      <c r="BB22" s="189"/>
      <c r="BC22" s="111">
        <f>ROW()</f>
        <v>22</v>
      </c>
      <c r="BD22" s="112" t="s">
        <v>220</v>
      </c>
      <c r="BF22" s="622">
        <f t="shared" ref="BF22:BP22" si="78">-BF20</f>
        <v>-37650420.160000011</v>
      </c>
      <c r="BG22" s="622">
        <f t="shared" si="78"/>
        <v>-2391601.7753268979</v>
      </c>
      <c r="BH22" s="622">
        <f t="shared" si="78"/>
        <v>-40042021.935326904</v>
      </c>
      <c r="BI22" s="622">
        <f t="shared" si="78"/>
        <v>133104.75165847223</v>
      </c>
      <c r="BJ22" s="622">
        <f t="shared" si="78"/>
        <v>-39908917.183668435</v>
      </c>
      <c r="BK22" s="622">
        <f t="shared" si="78"/>
        <v>-348814.75209316192</v>
      </c>
      <c r="BL22" s="622">
        <f t="shared" si="78"/>
        <v>-40257731.935761601</v>
      </c>
      <c r="BM22" s="622">
        <f t="shared" si="78"/>
        <v>3984285.403344369</v>
      </c>
      <c r="BN22" s="622">
        <f t="shared" si="78"/>
        <v>-36273446.53241723</v>
      </c>
      <c r="BO22" s="622">
        <f t="shared" si="78"/>
        <v>184598.59659993602</v>
      </c>
      <c r="BP22" s="622">
        <f t="shared" si="78"/>
        <v>-36088847.935817294</v>
      </c>
      <c r="BQ22" s="622"/>
      <c r="BR22" s="622"/>
      <c r="BS22" s="622"/>
      <c r="BT22" s="622"/>
      <c r="BU22" s="111">
        <f>ROW()</f>
        <v>22</v>
      </c>
      <c r="BV22" s="159"/>
      <c r="BX22" s="329"/>
      <c r="BY22" s="332"/>
      <c r="BZ22" s="3"/>
      <c r="CA22" s="332"/>
      <c r="CB22" s="3"/>
      <c r="CC22" s="332"/>
      <c r="CD22" s="3"/>
      <c r="CE22" s="332"/>
      <c r="CF22" s="3"/>
      <c r="CG22" s="332"/>
      <c r="CH22" s="3"/>
      <c r="CI22" s="3"/>
      <c r="CJ22" s="3"/>
      <c r="CK22" s="332"/>
      <c r="CL22" s="3"/>
      <c r="DE22" s="111">
        <f>ROW()</f>
        <v>22</v>
      </c>
      <c r="DF22" s="1" t="s">
        <v>254</v>
      </c>
      <c r="DG22" s="112"/>
      <c r="DH22" s="621">
        <f t="shared" ref="DH22:DR22" si="79">-DH19-DH21</f>
        <v>-866496.48097030004</v>
      </c>
      <c r="DI22" s="621">
        <f t="shared" si="79"/>
        <v>-183413.51902969996</v>
      </c>
      <c r="DJ22" s="621">
        <f t="shared" si="79"/>
        <v>-1049910</v>
      </c>
      <c r="DK22" s="621">
        <f t="shared" si="79"/>
        <v>0</v>
      </c>
      <c r="DL22" s="621">
        <f t="shared" si="79"/>
        <v>-1049910</v>
      </c>
      <c r="DM22" s="621">
        <f t="shared" si="79"/>
        <v>0</v>
      </c>
      <c r="DN22" s="621">
        <f t="shared" si="79"/>
        <v>-1049910</v>
      </c>
      <c r="DO22" s="621">
        <f t="shared" si="79"/>
        <v>0</v>
      </c>
      <c r="DP22" s="621">
        <f t="shared" si="79"/>
        <v>-1049910</v>
      </c>
      <c r="DQ22" s="621">
        <f t="shared" si="79"/>
        <v>0</v>
      </c>
      <c r="DR22" s="621">
        <f t="shared" si="79"/>
        <v>-1049910</v>
      </c>
      <c r="DS22" s="621"/>
      <c r="DT22" s="621"/>
      <c r="DU22" s="621"/>
      <c r="DV22" s="621"/>
      <c r="DW22" s="111"/>
      <c r="DX22" s="195"/>
      <c r="DY22" s="121"/>
      <c r="DZ22" s="1"/>
      <c r="EA22" s="1"/>
      <c r="EB22" s="1"/>
      <c r="EC22" s="1"/>
      <c r="ED22" s="1"/>
      <c r="EO22" s="111">
        <f>ROW()</f>
        <v>22</v>
      </c>
      <c r="EP22" s="193" t="s">
        <v>256</v>
      </c>
      <c r="EQ22" s="115"/>
      <c r="ER22" s="184">
        <v>6242476.8065875797</v>
      </c>
      <c r="ES22" s="184">
        <f>ET22-ER22</f>
        <v>0</v>
      </c>
      <c r="ET22" s="170">
        <v>6242476.8065875797</v>
      </c>
      <c r="EU22" s="184">
        <f>EV22-ET22</f>
        <v>0</v>
      </c>
      <c r="EV22" s="170">
        <v>6242476.8065875797</v>
      </c>
      <c r="EW22" s="184"/>
      <c r="EX22" s="170">
        <f>SUM(EV22:EW22)</f>
        <v>6242476.8065875797</v>
      </c>
      <c r="EY22" s="184"/>
      <c r="EZ22" s="170">
        <f>SUM(EX22:EY22)</f>
        <v>6242476.8065875797</v>
      </c>
      <c r="FA22" s="184"/>
      <c r="FB22" s="170">
        <f>SUM(EZ22:FA22)</f>
        <v>6242476.8065875797</v>
      </c>
      <c r="FC22" s="170"/>
      <c r="FD22" s="170"/>
      <c r="FE22" s="184"/>
      <c r="FF22" s="170"/>
      <c r="FG22" s="111">
        <f>ROW()</f>
        <v>22</v>
      </c>
      <c r="FH22" s="1"/>
      <c r="FI22" s="1"/>
      <c r="FK22" s="620"/>
      <c r="FM22" s="620"/>
      <c r="FO22" s="620"/>
      <c r="FQ22" s="620"/>
      <c r="FS22" s="620"/>
      <c r="FW22" s="620"/>
      <c r="FX22"/>
      <c r="FY22" s="111">
        <f>ROW()</f>
        <v>22</v>
      </c>
      <c r="FZ22" s="249" t="s">
        <v>248</v>
      </c>
      <c r="GB22" s="134">
        <v>441704.16914932057</v>
      </c>
      <c r="GC22" s="134">
        <v>-149741.13523320132</v>
      </c>
      <c r="GD22" s="134">
        <f t="shared" si="11"/>
        <v>291963.03391611925</v>
      </c>
      <c r="GE22" s="134">
        <v>22922.424210030236</v>
      </c>
      <c r="GF22" s="134">
        <f t="shared" si="12"/>
        <v>314885.45812614949</v>
      </c>
      <c r="GG22" s="134">
        <v>10051.621943489474</v>
      </c>
      <c r="GH22" s="134">
        <f t="shared" si="13"/>
        <v>324937.08006963896</v>
      </c>
      <c r="GI22" s="134">
        <v>2384.4034893848002</v>
      </c>
      <c r="GJ22" s="134">
        <f t="shared" si="14"/>
        <v>327321.48355902376</v>
      </c>
      <c r="GK22" s="134">
        <v>188.64828132116236</v>
      </c>
      <c r="GL22" s="134">
        <f t="shared" si="15"/>
        <v>327510.13184034493</v>
      </c>
      <c r="GM22" s="134"/>
      <c r="GN22" s="134"/>
      <c r="GO22" s="134"/>
      <c r="GP22" s="134"/>
      <c r="GQ22" s="111">
        <f>ROW()</f>
        <v>22</v>
      </c>
      <c r="GR22" s="149" t="s">
        <v>255</v>
      </c>
      <c r="GS22" s="192"/>
      <c r="GT22" s="175"/>
      <c r="GU22" s="175"/>
      <c r="GV22" s="175"/>
      <c r="GW22" s="175"/>
      <c r="GX22" s="175"/>
      <c r="GY22" s="175"/>
      <c r="GZ22" s="175"/>
      <c r="HA22" s="175"/>
      <c r="HB22" s="175"/>
      <c r="HC22" s="175"/>
      <c r="HD22" s="175"/>
      <c r="HE22" s="175"/>
      <c r="HF22" s="175"/>
      <c r="HG22" s="175"/>
      <c r="HH22" s="175"/>
      <c r="HI22" s="121"/>
      <c r="HJ22" s="121"/>
      <c r="HK22" s="121"/>
      <c r="HL22" s="121"/>
      <c r="HM22" s="121"/>
      <c r="HN22" s="121"/>
      <c r="HO22" s="121"/>
      <c r="HP22" s="121"/>
      <c r="HQ22" s="121"/>
      <c r="HR22" s="121"/>
      <c r="HS22" s="121"/>
      <c r="HT22" s="121"/>
      <c r="HU22" s="121"/>
      <c r="HV22" s="121"/>
      <c r="HW22" s="121"/>
      <c r="HX22" s="121"/>
      <c r="HY22" s="121"/>
      <c r="HZ22" s="121"/>
      <c r="IA22" s="111">
        <f>ROW()</f>
        <v>22</v>
      </c>
      <c r="II22" s="121"/>
      <c r="IJ22" s="121"/>
      <c r="IK22" s="121"/>
      <c r="IL22" s="121"/>
      <c r="IM22" s="121"/>
      <c r="IN22" s="121"/>
      <c r="IO22" s="121"/>
      <c r="IP22" s="121"/>
      <c r="IQ22" s="121"/>
      <c r="IR22" s="121"/>
      <c r="IS22" s="111">
        <f>ROW()</f>
        <v>22</v>
      </c>
      <c r="IT22" s="131" t="s">
        <v>224</v>
      </c>
      <c r="IU22" s="131"/>
      <c r="IV22" s="384">
        <f t="shared" ref="IV22:JF22" si="80">-IV19-IV21</f>
        <v>-729417.50699999987</v>
      </c>
      <c r="IW22" s="384">
        <f t="shared" si="80"/>
        <v>-778045.66996666696</v>
      </c>
      <c r="IX22" s="384">
        <f t="shared" si="80"/>
        <v>-1507463.1769666667</v>
      </c>
      <c r="IY22" s="384">
        <f t="shared" si="80"/>
        <v>0</v>
      </c>
      <c r="IZ22" s="384">
        <f t="shared" si="80"/>
        <v>-1507463.1769666667</v>
      </c>
      <c r="JA22" s="384">
        <f t="shared" si="80"/>
        <v>0</v>
      </c>
      <c r="JB22" s="384">
        <f t="shared" si="80"/>
        <v>-1507463.1769666667</v>
      </c>
      <c r="JC22" s="384">
        <f t="shared" si="80"/>
        <v>0</v>
      </c>
      <c r="JD22" s="384">
        <f t="shared" si="80"/>
        <v>-1507463.1769666667</v>
      </c>
      <c r="JE22" s="384">
        <f t="shared" si="80"/>
        <v>1483149.1865527751</v>
      </c>
      <c r="JF22" s="384">
        <f t="shared" si="80"/>
        <v>-24313.990413891763</v>
      </c>
      <c r="JG22" s="384"/>
      <c r="JH22" s="384"/>
      <c r="JI22" s="384"/>
      <c r="JJ22" s="384"/>
      <c r="JK22" s="111">
        <f>ROW()</f>
        <v>22</v>
      </c>
      <c r="JL22" s="112" t="s">
        <v>239</v>
      </c>
      <c r="JM22" s="190">
        <f>FIT</f>
        <v>0.21</v>
      </c>
      <c r="JN22" s="191">
        <f>-JN20*JM22</f>
        <v>-21175.761120688632</v>
      </c>
      <c r="JO22" s="191">
        <f>JP22-JN22</f>
        <v>3481.8782863634588</v>
      </c>
      <c r="JP22" s="191">
        <f>-JP20*$JM$22</f>
        <v>-17693.882834325173</v>
      </c>
      <c r="JQ22" s="191">
        <f>-JQ20*$JM$22</f>
        <v>0</v>
      </c>
      <c r="JR22" s="191">
        <f>-JR20*$JM$22</f>
        <v>-17693.882834325173</v>
      </c>
      <c r="JS22" s="191"/>
      <c r="JT22" s="191">
        <f>-JT20*$JM$22</f>
        <v>-17693.882834325173</v>
      </c>
      <c r="JU22" s="191"/>
      <c r="JV22" s="191">
        <f>-JV20*$JM$22</f>
        <v>-17693.882834325173</v>
      </c>
      <c r="JW22" s="191"/>
      <c r="JX22" s="191">
        <f>-JX20*$JM$22</f>
        <v>-17693.882834325173</v>
      </c>
      <c r="JY22" s="191"/>
      <c r="JZ22" s="191"/>
      <c r="KA22" s="191"/>
      <c r="KB22" s="191"/>
      <c r="KC22" s="111"/>
      <c r="KU22" s="111">
        <f>ROW()</f>
        <v>22</v>
      </c>
      <c r="KV22" s="249" t="s">
        <v>248</v>
      </c>
      <c r="KW22" s="232"/>
      <c r="KX22" s="134">
        <v>6383582.6504291072</v>
      </c>
      <c r="KY22" s="134">
        <v>191846.74656400736</v>
      </c>
      <c r="KZ22" s="181">
        <f t="shared" si="21"/>
        <v>6575429.3969931146</v>
      </c>
      <c r="LA22" s="134">
        <v>0</v>
      </c>
      <c r="LB22" s="181">
        <f t="shared" si="22"/>
        <v>6575429.3969931146</v>
      </c>
      <c r="LC22" s="134">
        <v>0</v>
      </c>
      <c r="LD22" s="181">
        <f t="shared" si="23"/>
        <v>6575429.3969931146</v>
      </c>
      <c r="LE22" s="134">
        <v>0</v>
      </c>
      <c r="LF22" s="181">
        <f t="shared" si="24"/>
        <v>6575429.3969931146</v>
      </c>
      <c r="LG22" s="134">
        <v>0</v>
      </c>
      <c r="LH22" s="181">
        <f t="shared" si="25"/>
        <v>6575429.3969931146</v>
      </c>
      <c r="LI22" s="134">
        <v>0</v>
      </c>
      <c r="LJ22" s="181"/>
      <c r="LK22" s="134">
        <v>0</v>
      </c>
      <c r="LL22" s="181">
        <f t="shared" si="25"/>
        <v>0</v>
      </c>
      <c r="LM22" s="111">
        <f>ROW()</f>
        <v>22</v>
      </c>
      <c r="LN22" s="1" t="s">
        <v>22</v>
      </c>
      <c r="LP22" s="382">
        <f t="shared" ref="LP22:MD22" si="81">SUM(LP16:LP21)</f>
        <v>2948894387.0453196</v>
      </c>
      <c r="LQ22" s="382">
        <f t="shared" si="81"/>
        <v>50455434.08198075</v>
      </c>
      <c r="LR22" s="382">
        <f t="shared" si="81"/>
        <v>2999349821.1272998</v>
      </c>
      <c r="LS22" s="382">
        <f t="shared" si="81"/>
        <v>0</v>
      </c>
      <c r="LT22" s="619">
        <f t="shared" si="81"/>
        <v>2999349821.1272998</v>
      </c>
      <c r="LU22" s="382">
        <f t="shared" si="81"/>
        <v>0</v>
      </c>
      <c r="LV22" s="619">
        <f t="shared" si="81"/>
        <v>2999349821.1272998</v>
      </c>
      <c r="LW22" s="382">
        <f t="shared" si="81"/>
        <v>0</v>
      </c>
      <c r="LX22" s="619">
        <f t="shared" si="81"/>
        <v>2999349821.1272998</v>
      </c>
      <c r="LY22" s="382">
        <f t="shared" si="81"/>
        <v>0</v>
      </c>
      <c r="LZ22" s="619">
        <f t="shared" si="81"/>
        <v>2999349821.1272998</v>
      </c>
      <c r="MA22" s="619">
        <f t="shared" si="81"/>
        <v>0</v>
      </c>
      <c r="MB22" s="619">
        <f t="shared" si="81"/>
        <v>0</v>
      </c>
      <c r="MC22" s="619">
        <f t="shared" si="81"/>
        <v>0</v>
      </c>
      <c r="MD22" s="619">
        <f t="shared" si="81"/>
        <v>0</v>
      </c>
      <c r="ME22" s="111">
        <f>ROW()</f>
        <v>22</v>
      </c>
      <c r="MF22" s="117" t="s">
        <v>323</v>
      </c>
      <c r="MH22" s="121">
        <v>55343.627279999979</v>
      </c>
      <c r="MI22" s="121">
        <v>-55343.627279999979</v>
      </c>
      <c r="MJ22" s="121">
        <f t="shared" si="65"/>
        <v>0</v>
      </c>
      <c r="MK22" s="121">
        <v>0</v>
      </c>
      <c r="ML22" s="121">
        <f>MJ22+MK22</f>
        <v>0</v>
      </c>
      <c r="MM22" s="121"/>
      <c r="MN22" s="121">
        <f>ML22+MM22</f>
        <v>0</v>
      </c>
      <c r="MO22" s="121"/>
      <c r="MP22" s="121">
        <f>MN22+MO22</f>
        <v>0</v>
      </c>
      <c r="MQ22" s="121"/>
      <c r="MR22" s="121">
        <f>MP22+MQ22</f>
        <v>0</v>
      </c>
      <c r="MS22" s="121"/>
      <c r="MT22" s="121"/>
      <c r="MU22" s="121"/>
      <c r="MV22" s="121"/>
      <c r="MW22" s="111">
        <f>ROW()</f>
        <v>22</v>
      </c>
      <c r="MX22" s="618" t="s">
        <v>254</v>
      </c>
      <c r="MZ22" s="384">
        <f t="shared" ref="MZ22:NB22" si="82">-MZ20-MZ21</f>
        <v>-4186338.6989000002</v>
      </c>
      <c r="NA22" s="384">
        <f t="shared" si="82"/>
        <v>14420.256752399737</v>
      </c>
      <c r="NB22" s="384">
        <f t="shared" si="82"/>
        <v>-4171918.4421476005</v>
      </c>
      <c r="NC22" s="384">
        <f>-NC20-NC21</f>
        <v>0</v>
      </c>
      <c r="ND22" s="384">
        <f>SUM(NB22:NC22)</f>
        <v>-4171918.4421476005</v>
      </c>
      <c r="NE22" s="384">
        <f>-NE20-NE21</f>
        <v>0</v>
      </c>
      <c r="NF22" s="384">
        <f>SUM(ND22:NE22)</f>
        <v>-4171918.4421476005</v>
      </c>
      <c r="NG22" s="384">
        <f>-NG20-NG21</f>
        <v>0</v>
      </c>
      <c r="NH22" s="384">
        <f>SUM(NF22:NG22)</f>
        <v>-4171918.4421476005</v>
      </c>
      <c r="NI22" s="384">
        <f>-NI20-NI21</f>
        <v>0</v>
      </c>
      <c r="NJ22" s="384">
        <f>SUM(NH22:NI22)</f>
        <v>-4171918.4421476005</v>
      </c>
      <c r="NK22" s="384">
        <f>-NK20-NK21</f>
        <v>0</v>
      </c>
      <c r="NL22" s="384"/>
      <c r="NM22" s="384">
        <f>-NM20-NM21</f>
        <v>0</v>
      </c>
      <c r="NN22" s="384">
        <f>SUM(NL22:NM22)</f>
        <v>0</v>
      </c>
      <c r="NO22" s="111">
        <f>ROW()</f>
        <v>22</v>
      </c>
      <c r="NP22" s="112" t="s">
        <v>65</v>
      </c>
      <c r="NQ22" s="397"/>
      <c r="NR22" s="189"/>
      <c r="NS22" s="608"/>
      <c r="NT22" s="189"/>
      <c r="NU22" s="608"/>
      <c r="NV22" s="189"/>
      <c r="NW22" s="608"/>
      <c r="NX22" s="189">
        <f>'Summary DPK-7 '!I36</f>
        <v>73987598.062147081</v>
      </c>
      <c r="NY22" s="889">
        <f>'O&amp;M'!L160</f>
        <v>-10756844.233188458</v>
      </c>
      <c r="NZ22" s="189">
        <f t="shared" si="27"/>
        <v>63230753.828958623</v>
      </c>
      <c r="OA22" s="889">
        <f>'O&amp;M'!M160</f>
        <v>7288826.6880556718</v>
      </c>
      <c r="OB22" s="189">
        <f t="shared" si="28"/>
        <v>70519580.517014295</v>
      </c>
      <c r="OC22" s="717"/>
      <c r="OD22" s="717"/>
      <c r="OE22" s="717"/>
      <c r="OF22" s="717"/>
      <c r="OG22" s="111">
        <f>ROW()</f>
        <v>22</v>
      </c>
      <c r="OH22" s="121" t="s">
        <v>80</v>
      </c>
      <c r="OI22" s="121"/>
      <c r="OJ22" s="134"/>
      <c r="OK22" s="134"/>
      <c r="OL22" s="134"/>
      <c r="OM22" s="134"/>
      <c r="ON22" s="134"/>
      <c r="OO22" s="184"/>
      <c r="OP22" s="184"/>
      <c r="OQ22" s="184"/>
      <c r="OR22" s="184"/>
      <c r="OS22" s="184"/>
      <c r="OT22" s="184"/>
      <c r="OU22" s="184"/>
      <c r="OV22" s="184"/>
      <c r="OW22" s="184"/>
      <c r="OX22" s="184"/>
      <c r="OY22" s="111">
        <f>ROW()</f>
        <v>22</v>
      </c>
      <c r="OZ22" s="329" t="s">
        <v>80</v>
      </c>
      <c r="PA22" s="405"/>
      <c r="PB22" s="121"/>
      <c r="PC22" s="121"/>
      <c r="PD22" s="121"/>
      <c r="PE22" s="405"/>
      <c r="PF22" s="405"/>
      <c r="PG22" s="405"/>
      <c r="PH22" s="405"/>
      <c r="PI22" s="405"/>
      <c r="PJ22" s="267"/>
      <c r="PK22" s="405"/>
      <c r="PL22" s="267"/>
      <c r="PM22" s="778"/>
      <c r="PN22" s="778"/>
      <c r="PO22" s="429"/>
      <c r="PP22" s="429"/>
      <c r="PQ22" s="111"/>
      <c r="PR22" s="112"/>
      <c r="PS22" s="163"/>
      <c r="PT22" s="429"/>
      <c r="PU22" s="429"/>
      <c r="PV22" s="429"/>
      <c r="PW22" s="429"/>
      <c r="PX22" s="429"/>
      <c r="PY22" s="429"/>
      <c r="PZ22" s="429"/>
      <c r="QA22" s="429"/>
      <c r="QB22" s="429"/>
      <c r="QC22" s="429"/>
      <c r="QD22" s="429"/>
      <c r="QE22" s="429"/>
      <c r="QF22" s="429"/>
      <c r="QG22" s="429"/>
      <c r="QH22" s="429"/>
      <c r="QJ22" s="336"/>
      <c r="QK22" s="329"/>
      <c r="QL22" s="329"/>
      <c r="RB22" s="336">
        <f>ROW()</f>
        <v>22</v>
      </c>
      <c r="RC22" s="329" t="s">
        <v>996</v>
      </c>
      <c r="RD22" s="329"/>
      <c r="RE22" s="337"/>
      <c r="RF22" s="337"/>
      <c r="RG22" s="356">
        <v>0</v>
      </c>
      <c r="RH22" s="356">
        <f>RI22-RG22</f>
        <v>0</v>
      </c>
      <c r="RI22" s="265">
        <v>0</v>
      </c>
      <c r="RJ22" s="356">
        <f>RK22-RI22</f>
        <v>0</v>
      </c>
      <c r="RK22" s="265">
        <v>0</v>
      </c>
      <c r="RL22" s="356">
        <f>RM22-RK22</f>
        <v>0</v>
      </c>
      <c r="RM22" s="265">
        <v>0</v>
      </c>
      <c r="RN22" s="356">
        <f>RO22-RM22</f>
        <v>0</v>
      </c>
      <c r="RO22" s="265">
        <v>0</v>
      </c>
      <c r="RP22" s="265"/>
      <c r="RQ22" s="265"/>
      <c r="RR22" s="356"/>
      <c r="RS22" s="265"/>
      <c r="RT22" s="345">
        <f>ROW()</f>
        <v>22</v>
      </c>
      <c r="RU22" s="329" t="s">
        <v>994</v>
      </c>
      <c r="RV22" s="241"/>
      <c r="RW22" s="366"/>
      <c r="RX22" s="366"/>
      <c r="RY22" s="366"/>
      <c r="RZ22" s="265"/>
      <c r="SA22" s="265">
        <f>RZ22+RY22</f>
        <v>0</v>
      </c>
      <c r="SB22" s="265"/>
      <c r="SC22" s="265">
        <f>SB22+SA22</f>
        <v>0</v>
      </c>
      <c r="SD22" s="265"/>
      <c r="SE22" s="265">
        <f>SD22+SC22</f>
        <v>0</v>
      </c>
      <c r="SF22" s="265"/>
      <c r="SG22" s="265">
        <f>SF22+SE22</f>
        <v>0</v>
      </c>
      <c r="SH22" s="265"/>
      <c r="SI22" s="265"/>
      <c r="SJ22" s="265"/>
      <c r="SK22" s="265"/>
      <c r="SL22" s="336">
        <f>ROW()</f>
        <v>22</v>
      </c>
      <c r="SM22" s="329" t="s">
        <v>274</v>
      </c>
      <c r="SN22" s="338"/>
      <c r="SO22" s="356"/>
      <c r="SP22" s="356"/>
      <c r="SQ22" s="356"/>
      <c r="SR22" s="356">
        <f t="shared" ref="SR22:SY22" si="83">SR20</f>
        <v>611271.05680999998</v>
      </c>
      <c r="SS22" s="356">
        <f t="shared" si="83"/>
        <v>611271.05680999998</v>
      </c>
      <c r="ST22" s="356">
        <f t="shared" si="83"/>
        <v>6992223.892155</v>
      </c>
      <c r="SU22" s="356">
        <f t="shared" si="83"/>
        <v>7603494.948965</v>
      </c>
      <c r="SV22" s="356">
        <f t="shared" si="83"/>
        <v>10656964.659060001</v>
      </c>
      <c r="SW22" s="356">
        <f t="shared" si="83"/>
        <v>18260459.608024999</v>
      </c>
      <c r="SX22" s="356">
        <f t="shared" si="83"/>
        <v>10578304.551260002</v>
      </c>
      <c r="SY22" s="356">
        <f t="shared" si="83"/>
        <v>28838764.159285001</v>
      </c>
      <c r="SZ22" s="356"/>
      <c r="TA22" s="356"/>
      <c r="TB22" s="525"/>
      <c r="TC22" s="525"/>
      <c r="TE22" s="336">
        <f>ROW()</f>
        <v>22</v>
      </c>
      <c r="TF22" s="464"/>
      <c r="TG22" s="873"/>
      <c r="TH22" s="874"/>
      <c r="TI22" s="875"/>
      <c r="TJ22" s="265"/>
      <c r="TK22" s="265"/>
      <c r="TL22" s="265"/>
      <c r="TM22" s="265"/>
      <c r="TN22" s="265"/>
      <c r="TO22" s="265"/>
      <c r="TP22" s="265"/>
      <c r="TQ22" s="265"/>
      <c r="TR22" s="265"/>
      <c r="TS22"/>
      <c r="TT22"/>
      <c r="TU22"/>
      <c r="TV22"/>
      <c r="TW22"/>
      <c r="TX22" s="336">
        <f>ROW()</f>
        <v>22</v>
      </c>
      <c r="TY22" s="238" t="s">
        <v>179</v>
      </c>
      <c r="TZ22" s="132">
        <f>+'Def, COC, ConvF DPK-7 '!P13</f>
        <v>4.0000000000000001E-3</v>
      </c>
      <c r="UA22" s="121">
        <f>+UA19*TZ22</f>
        <v>0</v>
      </c>
      <c r="UB22" s="121">
        <f t="shared" si="76"/>
        <v>0</v>
      </c>
      <c r="UQ22" s="345">
        <f>ROW()</f>
        <v>22</v>
      </c>
      <c r="UR22" s="341" t="s">
        <v>298</v>
      </c>
      <c r="UT22" s="121"/>
      <c r="UU22" s="121">
        <v>0</v>
      </c>
      <c r="UV22" s="121"/>
      <c r="UW22" s="121"/>
      <c r="UX22" s="121"/>
      <c r="UY22" s="121"/>
      <c r="UZ22" s="121"/>
      <c r="VA22" s="121">
        <v>2403256.8895737054</v>
      </c>
      <c r="VB22" s="356">
        <f>UZ22+VA22</f>
        <v>2403256.8895737054</v>
      </c>
      <c r="VC22" s="121">
        <v>0</v>
      </c>
      <c r="VD22" s="356">
        <f>VB22+VC22</f>
        <v>2403256.8895737054</v>
      </c>
      <c r="VJ22" s="345">
        <f>ROW()</f>
        <v>22</v>
      </c>
      <c r="VM22" s="129"/>
      <c r="VN22" s="129"/>
      <c r="VO22" s="129"/>
      <c r="VP22" s="921"/>
      <c r="VQ22" s="629"/>
      <c r="VR22" s="921"/>
      <c r="VS22" s="629"/>
      <c r="VT22" s="921"/>
      <c r="VU22" s="629"/>
      <c r="VV22" s="921"/>
      <c r="VW22" s="629"/>
    </row>
    <row r="23" spans="1:610" ht="16.5" thickTop="1" thickBot="1" x14ac:dyDescent="0.4">
      <c r="A23" s="111">
        <f>ROW()</f>
        <v>23</v>
      </c>
      <c r="B23" t="s">
        <v>1470</v>
      </c>
      <c r="C23" s="1188" t="s">
        <v>1869</v>
      </c>
      <c r="D23" s="241"/>
      <c r="E23" s="1192">
        <f>'GAS COS Revenues'!$D$17</f>
        <v>-141410.32999999999</v>
      </c>
      <c r="F23" s="241"/>
      <c r="G23" s="241"/>
      <c r="H23" s="1189"/>
      <c r="I23" s="1193"/>
      <c r="J23" s="1191"/>
      <c r="K23" s="1193"/>
      <c r="L23" s="1193"/>
      <c r="M23" s="1193"/>
      <c r="N23" s="189"/>
      <c r="O23" s="189"/>
      <c r="P23" s="189"/>
      <c r="Q23" s="189"/>
      <c r="R23" s="189"/>
      <c r="S23" s="111">
        <f>ROW()</f>
        <v>23</v>
      </c>
      <c r="T23" s="238" t="s">
        <v>995</v>
      </c>
      <c r="U23" s="239"/>
      <c r="V23" s="121">
        <f t="shared" si="5"/>
        <v>-764669.87</v>
      </c>
      <c r="W23" s="134">
        <f>'GAS COS Revenues'!$E$12</f>
        <v>764669.87</v>
      </c>
      <c r="X23" s="134"/>
      <c r="Y23" s="134"/>
      <c r="Z23" s="134">
        <f t="shared" si="6"/>
        <v>0</v>
      </c>
      <c r="AA23" s="134"/>
      <c r="AB23" s="134">
        <f t="shared" si="7"/>
        <v>0</v>
      </c>
      <c r="AC23" s="134"/>
      <c r="AD23" s="134">
        <f t="shared" si="8"/>
        <v>0</v>
      </c>
      <c r="AE23" s="134"/>
      <c r="AF23" s="134">
        <f t="shared" si="9"/>
        <v>0</v>
      </c>
      <c r="AG23" s="134"/>
      <c r="AH23" s="134"/>
      <c r="AI23" s="134"/>
      <c r="AJ23" s="134"/>
      <c r="AK23" s="111">
        <f>ROW()</f>
        <v>23</v>
      </c>
      <c r="AL23" s="112" t="s">
        <v>262</v>
      </c>
      <c r="AM23" s="188">
        <f>'Def, COC, ConvF DPK-7 '!P13</f>
        <v>4.0000000000000001E-3</v>
      </c>
      <c r="AN23" s="189">
        <f>$AN$20*$AM23</f>
        <v>30434.638283429951</v>
      </c>
      <c r="AO23" s="189">
        <f>$AO$20*$AM23</f>
        <v>-362.38468065106872</v>
      </c>
      <c r="AP23" s="189">
        <f>$AP$20*$AM23</f>
        <v>30072.253602778881</v>
      </c>
      <c r="AQ23" s="189">
        <f>AQ$20*$AM23</f>
        <v>-93823.423683371337</v>
      </c>
      <c r="AR23" s="189">
        <f>AR20*AM23</f>
        <v>324401.74103860889</v>
      </c>
      <c r="AS23" s="189"/>
      <c r="AT23" s="189"/>
      <c r="AU23" s="189"/>
      <c r="AV23" s="189"/>
      <c r="AW23" s="189"/>
      <c r="AX23" s="189"/>
      <c r="AY23" s="189"/>
      <c r="AZ23" s="189"/>
      <c r="BA23" s="189"/>
      <c r="BB23" s="189"/>
      <c r="BC23" s="111">
        <f>ROW()</f>
        <v>23</v>
      </c>
      <c r="BD23" s="1" t="s">
        <v>80</v>
      </c>
      <c r="BU23" s="111">
        <f>ROW()</f>
        <v>23</v>
      </c>
      <c r="BV23" s="1" t="s">
        <v>263</v>
      </c>
      <c r="BW23" s="135">
        <v>0.21</v>
      </c>
      <c r="BX23" s="265">
        <f>-BX21*$BW$23</f>
        <v>0</v>
      </c>
      <c r="BY23" s="265">
        <f>-BY21*$BW$23</f>
        <v>-16074542.57656165</v>
      </c>
      <c r="BZ23" s="134">
        <f>SUM(BX23:BY23)</f>
        <v>-16074542.57656165</v>
      </c>
      <c r="CA23" s="725">
        <f>-CA21*$BW$23</f>
        <v>596614.66645446536</v>
      </c>
      <c r="CB23" s="134">
        <f>SUM(BZ23:CA23)</f>
        <v>-15477927.910107184</v>
      </c>
      <c r="CC23" s="265">
        <f>-CC21*$BW$23</f>
        <v>-543136.50103020924</v>
      </c>
      <c r="CD23" s="134">
        <f>SUM(CB23:CC23)</f>
        <v>-16021064.411137393</v>
      </c>
      <c r="CE23" s="134">
        <f>-CE21*$BW$23</f>
        <v>-532996.14814697567</v>
      </c>
      <c r="CF23" s="134">
        <f>SUM(CD23:CE23)</f>
        <v>-16554060.559284369</v>
      </c>
      <c r="CG23" s="134">
        <f>-CG21*$BW$23</f>
        <v>-100756.73972158178</v>
      </c>
      <c r="CH23" s="134">
        <f>SUM(CF23:CG23)</f>
        <v>-16654817.29900595</v>
      </c>
      <c r="CI23" s="134">
        <f>-CI21*$BW$23</f>
        <v>0</v>
      </c>
      <c r="CJ23" s="134"/>
      <c r="CK23" s="134">
        <f>-CK21*$BW$23</f>
        <v>0</v>
      </c>
      <c r="CL23" s="134">
        <f>SUM(CJ23:CK23)</f>
        <v>0</v>
      </c>
      <c r="DE23" s="111"/>
      <c r="DF23" s="1"/>
      <c r="DG23" s="1"/>
      <c r="DH23" s="1"/>
      <c r="DI23" s="1"/>
      <c r="DJ23" s="1"/>
      <c r="DK23" s="1"/>
      <c r="DL23" s="1"/>
      <c r="DW23" s="111"/>
      <c r="DX23" s="1"/>
      <c r="DY23" s="1"/>
      <c r="DZ23" s="1"/>
      <c r="EA23" s="1"/>
      <c r="EB23" s="1"/>
      <c r="EC23" s="1"/>
      <c r="ED23" s="1"/>
      <c r="EO23" s="111">
        <f>ROW()</f>
        <v>23</v>
      </c>
      <c r="EP23" s="131" t="s">
        <v>266</v>
      </c>
      <c r="EQ23" s="1"/>
      <c r="ER23" s="372">
        <f t="shared" ref="ER23:FB23" si="84">ER21-ER22</f>
        <v>-118895.92411444243</v>
      </c>
      <c r="ES23" s="372">
        <f t="shared" si="84"/>
        <v>-17289.176081915386</v>
      </c>
      <c r="ET23" s="372">
        <f t="shared" si="84"/>
        <v>-136185.10019635782</v>
      </c>
      <c r="EU23" s="372">
        <f t="shared" si="84"/>
        <v>257699.55792073626</v>
      </c>
      <c r="EV23" s="372">
        <f t="shared" si="84"/>
        <v>121514.45772437844</v>
      </c>
      <c r="EW23" s="372">
        <f t="shared" si="84"/>
        <v>0</v>
      </c>
      <c r="EX23" s="372">
        <f t="shared" si="84"/>
        <v>121514.45772437844</v>
      </c>
      <c r="EY23" s="372">
        <f t="shared" si="84"/>
        <v>0</v>
      </c>
      <c r="EZ23" s="372">
        <f t="shared" si="84"/>
        <v>121514.45772437844</v>
      </c>
      <c r="FA23" s="372">
        <f t="shared" si="84"/>
        <v>0</v>
      </c>
      <c r="FB23" s="372">
        <f t="shared" si="84"/>
        <v>121514.45772437844</v>
      </c>
      <c r="FC23" s="372"/>
      <c r="FD23" s="372"/>
      <c r="FE23" s="372"/>
      <c r="FF23" s="372"/>
      <c r="FG23" s="111">
        <f>ROW()</f>
        <v>23</v>
      </c>
      <c r="FH23" s="194" t="s">
        <v>224</v>
      </c>
      <c r="FI23" s="194"/>
      <c r="FJ23" s="726">
        <f t="shared" ref="FJ23:FT23" si="85">-FJ20-FJ21</f>
        <v>-351589.51670676481</v>
      </c>
      <c r="FK23" s="726">
        <f t="shared" si="85"/>
        <v>18993.65433911428</v>
      </c>
      <c r="FL23" s="726">
        <f t="shared" si="85"/>
        <v>-332595.86236765049</v>
      </c>
      <c r="FM23" s="726">
        <f t="shared" si="85"/>
        <v>0</v>
      </c>
      <c r="FN23" s="726">
        <f t="shared" si="85"/>
        <v>-332595.86236765049</v>
      </c>
      <c r="FO23" s="726">
        <f t="shared" si="85"/>
        <v>0</v>
      </c>
      <c r="FP23" s="726">
        <f t="shared" si="85"/>
        <v>-332595.86236765049</v>
      </c>
      <c r="FQ23" s="726">
        <f t="shared" si="85"/>
        <v>0</v>
      </c>
      <c r="FR23" s="726">
        <f t="shared" si="85"/>
        <v>-332595.86236765049</v>
      </c>
      <c r="FS23" s="726">
        <f t="shared" si="85"/>
        <v>0</v>
      </c>
      <c r="FT23" s="726">
        <f t="shared" si="85"/>
        <v>-332595.86236765049</v>
      </c>
      <c r="FU23" s="726"/>
      <c r="FV23" s="726"/>
      <c r="FW23" s="726"/>
      <c r="FX23" s="726"/>
      <c r="FY23" s="111">
        <f>ROW()</f>
        <v>23</v>
      </c>
      <c r="FZ23" s="249" t="s">
        <v>253</v>
      </c>
      <c r="GB23" s="134">
        <v>78079.772516031167</v>
      </c>
      <c r="GC23" s="134">
        <v>-24494.517219285743</v>
      </c>
      <c r="GD23" s="134">
        <f t="shared" si="11"/>
        <v>53585.255296745425</v>
      </c>
      <c r="GE23" s="134">
        <v>4201.6604279313615</v>
      </c>
      <c r="GF23" s="134">
        <f t="shared" si="12"/>
        <v>57786.915724676786</v>
      </c>
      <c r="GG23" s="134">
        <v>1844.6460932217306</v>
      </c>
      <c r="GH23" s="134">
        <f t="shared" si="13"/>
        <v>59631.561817898517</v>
      </c>
      <c r="GI23" s="134">
        <v>437.57918931749009</v>
      </c>
      <c r="GJ23" s="134">
        <f t="shared" si="14"/>
        <v>60069.141007216007</v>
      </c>
      <c r="GK23" s="134">
        <v>34.620215233764611</v>
      </c>
      <c r="GL23" s="134">
        <f t="shared" si="15"/>
        <v>60103.761222449772</v>
      </c>
      <c r="GM23" s="134"/>
      <c r="GN23" s="134"/>
      <c r="GO23" s="134"/>
      <c r="GP23" s="134"/>
      <c r="GQ23" s="111">
        <f>ROW()</f>
        <v>23</v>
      </c>
      <c r="GR23" s="112" t="s">
        <v>265</v>
      </c>
      <c r="GS23" s="110"/>
      <c r="GT23" s="175">
        <v>448588.05680000002</v>
      </c>
      <c r="GU23" s="175">
        <v>3925.1454970000195</v>
      </c>
      <c r="GV23" s="175">
        <f>SUM(GT23:GU23)</f>
        <v>452513.20229700004</v>
      </c>
      <c r="GW23" s="175">
        <v>0</v>
      </c>
      <c r="GX23" s="175">
        <f t="shared" ref="GX23" si="86">SUM(GV23:GW23)</f>
        <v>452513.20229700004</v>
      </c>
      <c r="GY23" s="175">
        <v>0</v>
      </c>
      <c r="GZ23" s="175">
        <f t="shared" ref="GZ23" si="87">SUM(GX23:GY23)</f>
        <v>452513.20229700004</v>
      </c>
      <c r="HA23" s="175">
        <v>0</v>
      </c>
      <c r="HB23" s="175">
        <f t="shared" ref="HB23" si="88">SUM(GZ23:HA23)</f>
        <v>452513.20229700004</v>
      </c>
      <c r="HC23" s="175">
        <v>0</v>
      </c>
      <c r="HD23" s="175">
        <f t="shared" ref="HD23" si="89">SUM(HB23:HC23)</f>
        <v>452513.20229700004</v>
      </c>
      <c r="HE23" s="175"/>
      <c r="HF23" s="175"/>
      <c r="HG23" s="175"/>
      <c r="HH23" s="175"/>
      <c r="HI23" s="121"/>
      <c r="HJ23" s="121"/>
      <c r="HK23" s="121"/>
      <c r="HL23" s="121"/>
      <c r="HM23" s="121"/>
      <c r="HN23" s="121"/>
      <c r="HO23" s="121"/>
      <c r="HP23" s="121"/>
      <c r="HQ23" s="121"/>
      <c r="HR23" s="121"/>
      <c r="HS23" s="121"/>
      <c r="HT23" s="121"/>
      <c r="HU23" s="121"/>
      <c r="HV23" s="121"/>
      <c r="HW23" s="121"/>
      <c r="HX23" s="121"/>
      <c r="HY23" s="121"/>
      <c r="HZ23" s="121"/>
      <c r="IA23" s="111">
        <f>ROW()</f>
        <v>23</v>
      </c>
      <c r="IB23" s="112" t="s">
        <v>1798</v>
      </c>
      <c r="II23" s="121"/>
      <c r="IJ23" s="121"/>
      <c r="IK23" s="121"/>
      <c r="IL23" s="121"/>
      <c r="IM23" s="121"/>
      <c r="IN23" s="121"/>
      <c r="IO23" s="121"/>
      <c r="IP23" s="121"/>
      <c r="IQ23" s="121"/>
      <c r="IR23" s="121"/>
      <c r="IS23" s="111"/>
      <c r="JA23" s="121"/>
      <c r="JB23" s="121"/>
      <c r="JC23" s="121"/>
      <c r="JD23" s="121"/>
      <c r="JE23" s="121"/>
      <c r="JF23" s="121"/>
      <c r="JG23" s="121"/>
      <c r="JH23" s="121"/>
      <c r="JI23" s="121"/>
      <c r="JJ23" s="121"/>
      <c r="JK23" s="111">
        <f>ROW()</f>
        <v>23</v>
      </c>
      <c r="JL23" s="112" t="s">
        <v>224</v>
      </c>
      <c r="JM23" s="149"/>
      <c r="JN23" s="616">
        <f>-JN20-JN22</f>
        <v>-79661.196596876282</v>
      </c>
      <c r="JO23" s="616">
        <f>-JO20-JO22</f>
        <v>13098.494505843493</v>
      </c>
      <c r="JP23" s="616">
        <f>-JP20-JP22</f>
        <v>-66562.702091032785</v>
      </c>
      <c r="JQ23" s="616">
        <f>-JQ20-JQ22</f>
        <v>0</v>
      </c>
      <c r="JR23" s="616">
        <f>-JR20-JR22</f>
        <v>-66562.702091032785</v>
      </c>
      <c r="JS23" s="616"/>
      <c r="JT23" s="616">
        <f>-JT20-JT22</f>
        <v>-66562.702091032785</v>
      </c>
      <c r="JU23" s="616"/>
      <c r="JV23" s="616">
        <f>-JV20-JV22</f>
        <v>-66562.702091032785</v>
      </c>
      <c r="JW23" s="616"/>
      <c r="JX23" s="616">
        <f>-JX20-JX22</f>
        <v>-66562.702091032785</v>
      </c>
      <c r="JY23" s="616"/>
      <c r="JZ23" s="616"/>
      <c r="KA23" s="616"/>
      <c r="KB23" s="616"/>
      <c r="KU23" s="111">
        <f>ROW()</f>
        <v>23</v>
      </c>
      <c r="KV23" s="249" t="s">
        <v>253</v>
      </c>
      <c r="KW23" s="232"/>
      <c r="KX23" s="134">
        <v>1128425.5207900973</v>
      </c>
      <c r="KY23" s="134">
        <v>78515.927254621871</v>
      </c>
      <c r="KZ23" s="181">
        <f t="shared" si="21"/>
        <v>1206941.4480447192</v>
      </c>
      <c r="LA23" s="134">
        <v>0</v>
      </c>
      <c r="LB23" s="181">
        <f t="shared" si="22"/>
        <v>1206941.4480447192</v>
      </c>
      <c r="LC23" s="134">
        <v>0</v>
      </c>
      <c r="LD23" s="181">
        <f t="shared" si="23"/>
        <v>1206941.4480447192</v>
      </c>
      <c r="LE23" s="134">
        <v>0</v>
      </c>
      <c r="LF23" s="181">
        <f t="shared" si="24"/>
        <v>1206941.4480447192</v>
      </c>
      <c r="LG23" s="134">
        <v>0</v>
      </c>
      <c r="LH23" s="181">
        <f t="shared" si="25"/>
        <v>1206941.4480447192</v>
      </c>
      <c r="LI23" s="134">
        <v>0</v>
      </c>
      <c r="LJ23" s="181"/>
      <c r="LK23" s="134">
        <v>0</v>
      </c>
      <c r="LL23" s="181">
        <f t="shared" si="25"/>
        <v>0</v>
      </c>
      <c r="LM23" s="111"/>
      <c r="LO23" s="615" t="s">
        <v>346</v>
      </c>
      <c r="LP23" s="121">
        <f>LP22-'Summary DPK-7 '!C58</f>
        <v>0</v>
      </c>
      <c r="LQ23" s="121"/>
      <c r="LR23" s="121"/>
      <c r="LS23" s="121"/>
      <c r="LT23" s="121"/>
      <c r="LU23" s="121"/>
      <c r="LV23" s="121"/>
      <c r="LW23" s="121"/>
      <c r="LX23" s="121"/>
      <c r="LY23" s="121"/>
      <c r="LZ23" s="121"/>
      <c r="MA23" s="121"/>
      <c r="MB23" s="121"/>
      <c r="MC23" s="121"/>
      <c r="MD23" s="121"/>
      <c r="ME23" s="111">
        <f>ROW()</f>
        <v>23</v>
      </c>
      <c r="MF23" s="117" t="s">
        <v>257</v>
      </c>
      <c r="MH23" s="121">
        <v>242370.05999999997</v>
      </c>
      <c r="MI23" s="121">
        <v>-242370.05999999997</v>
      </c>
      <c r="MJ23" s="121">
        <f t="shared" si="65"/>
        <v>0</v>
      </c>
      <c r="MK23" s="121">
        <v>0</v>
      </c>
      <c r="ML23" s="121">
        <f>MJ23+MK23</f>
        <v>0</v>
      </c>
      <c r="MM23" s="121"/>
      <c r="MN23" s="121">
        <f>ML23+MM23</f>
        <v>0</v>
      </c>
      <c r="MO23" s="121"/>
      <c r="MP23" s="121">
        <f>MN23+MO23</f>
        <v>0</v>
      </c>
      <c r="MQ23" s="121"/>
      <c r="MR23" s="121">
        <f>MP23+MQ23</f>
        <v>0</v>
      </c>
      <c r="MS23" s="121"/>
      <c r="MT23" s="121"/>
      <c r="MU23" s="121"/>
      <c r="MV23" s="121"/>
      <c r="MW23" s="111"/>
      <c r="NO23" s="111">
        <f>ROW()</f>
        <v>23</v>
      </c>
      <c r="NP23" s="719" t="s">
        <v>70</v>
      </c>
      <c r="NQ23" s="129"/>
      <c r="NR23" s="196"/>
      <c r="NS23" s="196"/>
      <c r="NT23" s="196"/>
      <c r="NU23" s="196"/>
      <c r="NV23" s="196"/>
      <c r="NW23" s="196"/>
      <c r="NX23" s="196">
        <f>'Summary DPK-7 '!I41</f>
        <v>26303078.738929383</v>
      </c>
      <c r="NY23" s="1201">
        <f>'4081'!N145</f>
        <v>-1907825.035493671</v>
      </c>
      <c r="NZ23" s="196">
        <f>NX23+NY23</f>
        <v>24395253.703435712</v>
      </c>
      <c r="OA23" s="196">
        <f>'4081'!N154</f>
        <v>2190298.4134793999</v>
      </c>
      <c r="OB23" s="196">
        <f>NZ23+OA23</f>
        <v>26585552.11691511</v>
      </c>
      <c r="OC23" s="196"/>
      <c r="OD23" s="990"/>
      <c r="OE23" s="196"/>
      <c r="OF23" s="990"/>
      <c r="OG23" s="111">
        <f>ROW()</f>
        <v>23</v>
      </c>
      <c r="OH23" s="1" t="s">
        <v>80</v>
      </c>
      <c r="OI23" s="135"/>
      <c r="OJ23" s="380"/>
      <c r="OK23" s="380"/>
      <c r="OL23" s="380"/>
      <c r="OM23" s="380"/>
      <c r="ON23" s="380"/>
      <c r="OO23" s="380"/>
      <c r="OP23" s="380"/>
      <c r="OQ23" s="380"/>
      <c r="OR23" s="380"/>
      <c r="OS23" s="380"/>
      <c r="OT23" s="380"/>
      <c r="OU23" s="134"/>
      <c r="OV23" s="134"/>
      <c r="OW23" s="134"/>
      <c r="OX23" s="134"/>
      <c r="OY23" s="111">
        <f>ROW()</f>
        <v>23</v>
      </c>
      <c r="OZ23" s="112" t="s">
        <v>836</v>
      </c>
      <c r="PA23" s="163"/>
      <c r="PB23"/>
      <c r="PC23"/>
      <c r="PD23"/>
      <c r="PE23" s="405"/>
      <c r="PF23" s="405"/>
      <c r="PG23" s="405"/>
      <c r="PH23" s="405"/>
      <c r="PI23" s="405"/>
      <c r="PJ23" s="267"/>
      <c r="PK23" s="405"/>
      <c r="PL23" s="267"/>
      <c r="PM23" s="603"/>
      <c r="PN23" s="603"/>
      <c r="PO23"/>
      <c r="PP23"/>
      <c r="PQ23" s="111"/>
      <c r="PR23" s="172"/>
      <c r="PS23" s="163"/>
      <c r="PT23" s="121"/>
      <c r="PU23" s="121"/>
      <c r="PV23" s="121"/>
      <c r="PW23" s="121"/>
      <c r="PX23" s="121"/>
      <c r="PY23" s="121"/>
      <c r="PZ23" s="121"/>
      <c r="QA23" s="121"/>
      <c r="QB23" s="121"/>
      <c r="QC23" s="121"/>
      <c r="QD23" s="121"/>
      <c r="QE23" s="121"/>
      <c r="QF23" s="121"/>
      <c r="QG23" s="121"/>
      <c r="QH23" s="121"/>
      <c r="QJ23" s="336"/>
      <c r="QK23" s="329"/>
      <c r="QL23" s="329"/>
      <c r="RB23" s="336">
        <f>ROW()</f>
        <v>23</v>
      </c>
      <c r="RC23" s="329" t="s">
        <v>994</v>
      </c>
      <c r="RD23" s="329"/>
      <c r="RE23" s="337"/>
      <c r="RF23" s="337"/>
      <c r="RG23" s="356">
        <v>0</v>
      </c>
      <c r="RH23" s="356">
        <f>RI23-RG23</f>
        <v>0</v>
      </c>
      <c r="RI23" s="265">
        <v>0</v>
      </c>
      <c r="RJ23" s="356">
        <f>RK23-RI23</f>
        <v>0</v>
      </c>
      <c r="RK23" s="265">
        <v>0</v>
      </c>
      <c r="RL23" s="356">
        <f>RM23-RK23</f>
        <v>0</v>
      </c>
      <c r="RM23" s="265">
        <v>0</v>
      </c>
      <c r="RN23" s="356">
        <f>RO23-RM23</f>
        <v>0</v>
      </c>
      <c r="RO23" s="265">
        <v>0</v>
      </c>
      <c r="RP23" s="265"/>
      <c r="RQ23" s="265"/>
      <c r="RR23" s="356"/>
      <c r="RS23" s="265"/>
      <c r="RT23" s="345">
        <f>ROW()</f>
        <v>23</v>
      </c>
      <c r="RU23" s="329" t="s">
        <v>992</v>
      </c>
      <c r="RV23" s="241"/>
      <c r="RW23" s="367"/>
      <c r="RX23" s="367"/>
      <c r="RY23" s="367"/>
      <c r="RZ23" s="368"/>
      <c r="SA23" s="368">
        <f>RZ23+RY23</f>
        <v>0</v>
      </c>
      <c r="SB23" s="368"/>
      <c r="SC23" s="368">
        <f>SB23+SA23</f>
        <v>0</v>
      </c>
      <c r="SD23" s="368"/>
      <c r="SE23" s="368">
        <f>SD23+SC23</f>
        <v>0</v>
      </c>
      <c r="SF23" s="368"/>
      <c r="SG23" s="368">
        <f>SF23+SE23</f>
        <v>0</v>
      </c>
      <c r="SH23" s="368"/>
      <c r="SI23" s="368"/>
      <c r="SJ23" s="368"/>
      <c r="SK23" s="368"/>
      <c r="SL23" s="336">
        <f>ROW()</f>
        <v>23</v>
      </c>
      <c r="SM23" s="329"/>
      <c r="SN23" s="338"/>
      <c r="SO23" s="337"/>
      <c r="SP23" s="337"/>
      <c r="SQ23" s="337"/>
      <c r="SR23" s="337"/>
      <c r="SS23" s="337"/>
      <c r="ST23" s="337"/>
      <c r="SU23" s="337"/>
      <c r="SV23" s="337"/>
      <c r="SW23" s="337"/>
      <c r="SX23" s="337"/>
      <c r="SY23" s="337"/>
      <c r="SZ23" s="337"/>
      <c r="TA23" s="337"/>
      <c r="TB23" s="580"/>
      <c r="TC23" s="580"/>
      <c r="TE23" s="336">
        <f>ROW()</f>
        <v>23</v>
      </c>
      <c r="TF23" s="464" t="s">
        <v>1433</v>
      </c>
      <c r="TG23" s="876">
        <v>0.21</v>
      </c>
      <c r="TH23" s="874">
        <f>-TH21*$TG23</f>
        <v>-18365.969999999998</v>
      </c>
      <c r="TI23" s="874">
        <f t="shared" ref="TI23:TR23" si="90">-TI21*$TG23</f>
        <v>18365.969999999998</v>
      </c>
      <c r="TJ23" s="874">
        <f t="shared" si="90"/>
        <v>0</v>
      </c>
      <c r="TK23" s="874">
        <f t="shared" si="90"/>
        <v>0</v>
      </c>
      <c r="TL23" s="874">
        <f t="shared" si="90"/>
        <v>0</v>
      </c>
      <c r="TM23" s="874">
        <f t="shared" si="90"/>
        <v>0</v>
      </c>
      <c r="TN23" s="874">
        <f t="shared" si="90"/>
        <v>0</v>
      </c>
      <c r="TO23" s="874">
        <f t="shared" si="90"/>
        <v>-13020</v>
      </c>
      <c r="TP23" s="874">
        <f t="shared" si="90"/>
        <v>-13020</v>
      </c>
      <c r="TQ23" s="874">
        <f t="shared" si="90"/>
        <v>0</v>
      </c>
      <c r="TR23" s="874">
        <f t="shared" si="90"/>
        <v>-13020</v>
      </c>
      <c r="TS23"/>
      <c r="TT23"/>
      <c r="TU23"/>
      <c r="TV23"/>
      <c r="TW23"/>
      <c r="TX23" s="336">
        <f>ROW()</f>
        <v>23</v>
      </c>
      <c r="TY23" s="766" t="s">
        <v>1104</v>
      </c>
      <c r="TZ23" s="132">
        <f>+'Def, COC, ConvF DPK-7 '!P14</f>
        <v>3.8408999999999999E-2</v>
      </c>
      <c r="UA23" s="177">
        <f>+UA19*TZ23</f>
        <v>0</v>
      </c>
      <c r="UB23" s="177">
        <f t="shared" si="76"/>
        <v>0</v>
      </c>
      <c r="UQ23" s="345">
        <f>ROW()</f>
        <v>23</v>
      </c>
      <c r="UR23" s="341" t="s">
        <v>1566</v>
      </c>
      <c r="UT23" s="177">
        <v>-1614927.4900000002</v>
      </c>
      <c r="UU23" s="177">
        <f>-UT23</f>
        <v>1614927.4900000002</v>
      </c>
      <c r="UV23" s="177"/>
      <c r="UW23" s="177"/>
      <c r="UX23" s="177"/>
      <c r="UY23" s="177"/>
      <c r="UZ23" s="177"/>
      <c r="VA23" s="177"/>
      <c r="VB23" s="177"/>
      <c r="VC23" s="177"/>
      <c r="VD23" s="177"/>
      <c r="VJ23" s="345">
        <f>ROW()</f>
        <v>23</v>
      </c>
    </row>
    <row r="24" spans="1:610" ht="16.5" thickTop="1" thickBot="1" x14ac:dyDescent="0.4">
      <c r="A24" s="111">
        <f>ROW()</f>
        <v>24</v>
      </c>
      <c r="B24" t="s">
        <v>1456</v>
      </c>
      <c r="C24" s="1188" t="s">
        <v>1869</v>
      </c>
      <c r="D24" s="1189"/>
      <c r="E24" s="1189">
        <f>'GAS COS Revenues'!$D$25</f>
        <v>-1237567.6443086741</v>
      </c>
      <c r="F24" s="1189"/>
      <c r="G24" s="1193"/>
      <c r="H24" s="1189"/>
      <c r="I24" s="1193"/>
      <c r="J24" s="1191"/>
      <c r="K24" s="1193"/>
      <c r="L24" s="1193"/>
      <c r="M24" s="1193"/>
      <c r="N24" s="189"/>
      <c r="O24" s="189"/>
      <c r="P24" s="189"/>
      <c r="Q24" s="189"/>
      <c r="R24" s="189"/>
      <c r="S24" s="111">
        <f>ROW()</f>
        <v>24</v>
      </c>
      <c r="T24" s="238" t="s">
        <v>1023</v>
      </c>
      <c r="V24" s="121">
        <f t="shared" si="5"/>
        <v>514047.89</v>
      </c>
      <c r="W24" s="134">
        <f>'GAS COS Revenues'!E13</f>
        <v>-514047.89</v>
      </c>
      <c r="X24" s="134"/>
      <c r="Y24" s="134"/>
      <c r="Z24" s="134">
        <f t="shared" ref="Z24:Z25" si="91">SUM(X24:Y24)</f>
        <v>0</v>
      </c>
      <c r="AA24" s="134"/>
      <c r="AB24" s="134">
        <f t="shared" ref="AB24:AB25" si="92">SUM(Z24:AA24)</f>
        <v>0</v>
      </c>
      <c r="AC24" s="134"/>
      <c r="AD24" s="134">
        <f t="shared" ref="AD24:AD25" si="93">SUM(AB24:AC24)</f>
        <v>0</v>
      </c>
      <c r="AE24" s="134"/>
      <c r="AF24" s="134">
        <f t="shared" ref="AF24:AF25" si="94">SUM(AD24:AE24)</f>
        <v>0</v>
      </c>
      <c r="AG24" s="134"/>
      <c r="AH24" s="134"/>
      <c r="AI24" s="134"/>
      <c r="AJ24" s="134"/>
      <c r="AK24" s="111">
        <f>ROW()</f>
        <v>24</v>
      </c>
      <c r="AL24" s="112" t="s">
        <v>268</v>
      </c>
      <c r="AM24" s="188">
        <f>'Def, COC, ConvF DPK-7 '!P14</f>
        <v>3.8408999999999999E-2</v>
      </c>
      <c r="AN24" s="189">
        <f>$AN$20*$AM24</f>
        <v>292241.00545706524</v>
      </c>
      <c r="AO24" s="189">
        <f>$AO$20*$AM24</f>
        <v>-3479.7082997817242</v>
      </c>
      <c r="AP24" s="189">
        <f>$AP$20*$AM24</f>
        <v>288761.29715728352</v>
      </c>
      <c r="AQ24" s="189">
        <f>AQ$20*$AM24</f>
        <v>-900915.97006365238</v>
      </c>
      <c r="AR24" s="189">
        <f>AR20*AM24</f>
        <v>3114986.6178879822</v>
      </c>
      <c r="AS24" s="189"/>
      <c r="AT24" s="189"/>
      <c r="AU24" s="189"/>
      <c r="AV24" s="189"/>
      <c r="AW24" s="189"/>
      <c r="AX24" s="189"/>
      <c r="AY24" s="189"/>
      <c r="AZ24" s="189"/>
      <c r="BA24" s="189"/>
      <c r="BB24" s="189"/>
      <c r="BC24" s="111">
        <f>ROW()</f>
        <v>24</v>
      </c>
      <c r="BD24"/>
      <c r="BE24"/>
      <c r="BF24"/>
      <c r="BG24"/>
      <c r="BH24"/>
      <c r="BI24"/>
      <c r="BJ24"/>
      <c r="BK24"/>
      <c r="BL24"/>
      <c r="BM24"/>
      <c r="BN24"/>
      <c r="BO24"/>
      <c r="BP24"/>
      <c r="BQ24"/>
      <c r="BR24"/>
      <c r="BS24"/>
      <c r="BT24"/>
      <c r="BU24" s="111">
        <f>ROW()</f>
        <v>24</v>
      </c>
      <c r="BV24" s="1" t="s">
        <v>224</v>
      </c>
      <c r="BX24" s="614">
        <f t="shared" ref="BX24:CH24" si="95">-BX23</f>
        <v>0</v>
      </c>
      <c r="BY24" s="612">
        <f t="shared" si="95"/>
        <v>16074542.57656165</v>
      </c>
      <c r="BZ24" s="611">
        <f t="shared" si="95"/>
        <v>16074542.57656165</v>
      </c>
      <c r="CA24" s="613">
        <f t="shared" si="95"/>
        <v>-596614.66645446536</v>
      </c>
      <c r="CB24" s="611">
        <f t="shared" si="95"/>
        <v>15477927.910107184</v>
      </c>
      <c r="CC24" s="612">
        <f t="shared" si="95"/>
        <v>543136.50103020924</v>
      </c>
      <c r="CD24" s="611">
        <f t="shared" si="95"/>
        <v>16021064.411137393</v>
      </c>
      <c r="CE24" s="611">
        <f t="shared" si="95"/>
        <v>532996.14814697567</v>
      </c>
      <c r="CF24" s="611">
        <f t="shared" si="95"/>
        <v>16554060.559284369</v>
      </c>
      <c r="CG24" s="611">
        <f t="shared" si="95"/>
        <v>100756.73972158178</v>
      </c>
      <c r="CH24" s="611">
        <f t="shared" si="95"/>
        <v>16654817.29900595</v>
      </c>
      <c r="CI24" s="611">
        <f t="shared" ref="CI24:CK24" si="96">-CI23</f>
        <v>0</v>
      </c>
      <c r="CJ24" s="611">
        <f t="shared" ref="CJ24" si="97">-CJ23</f>
        <v>0</v>
      </c>
      <c r="CK24" s="611">
        <f t="shared" si="96"/>
        <v>0</v>
      </c>
      <c r="CL24" s="611">
        <f t="shared" ref="CL24" si="98">-CL23</f>
        <v>0</v>
      </c>
      <c r="DE24" s="111"/>
      <c r="DF24" s="1"/>
      <c r="DG24" s="186"/>
      <c r="DW24" s="111"/>
      <c r="DX24" s="1"/>
      <c r="DY24" s="1"/>
      <c r="DZ24" s="1"/>
      <c r="EA24" s="1"/>
      <c r="EB24" s="1"/>
      <c r="EC24" s="1"/>
      <c r="ED24" s="1"/>
      <c r="EO24" s="111">
        <f>ROW()</f>
        <v>24</v>
      </c>
      <c r="EP24" s="112"/>
      <c r="EQ24" s="1"/>
      <c r="ER24" s="1"/>
      <c r="ES24" s="1"/>
      <c r="ET24" s="1"/>
      <c r="EU24" s="1"/>
      <c r="EV24" s="1"/>
      <c r="EW24" s="1"/>
      <c r="EX24" s="1"/>
      <c r="EY24" s="1"/>
      <c r="EZ24" s="1"/>
      <c r="FA24" s="1"/>
      <c r="FB24" s="1"/>
      <c r="FC24" s="1"/>
      <c r="FD24" s="1"/>
      <c r="FE24" s="1"/>
      <c r="FF24" s="1"/>
      <c r="FX24" s="111"/>
      <c r="FY24" s="111">
        <f>ROW()</f>
        <v>24</v>
      </c>
      <c r="FZ24" s="249" t="s">
        <v>264</v>
      </c>
      <c r="GB24" s="134">
        <v>-5047.149967116542</v>
      </c>
      <c r="GC24" s="134">
        <v>1808.7527559877622</v>
      </c>
      <c r="GD24" s="134">
        <f t="shared" si="11"/>
        <v>-3238.3972111287799</v>
      </c>
      <c r="GE24" s="134">
        <v>-254.25107294713052</v>
      </c>
      <c r="GF24" s="134">
        <f t="shared" si="12"/>
        <v>-3492.6482840759104</v>
      </c>
      <c r="GG24" s="134">
        <v>-111.49063644293074</v>
      </c>
      <c r="GH24" s="134">
        <f t="shared" si="13"/>
        <v>-3604.1389205188411</v>
      </c>
      <c r="GI24" s="134">
        <v>-26.447339948001627</v>
      </c>
      <c r="GJ24" s="134">
        <f t="shared" si="14"/>
        <v>-3630.5862604668428</v>
      </c>
      <c r="GK24" s="134">
        <v>-2.0924500609557981</v>
      </c>
      <c r="GL24" s="134">
        <f t="shared" si="15"/>
        <v>-3632.6787105277986</v>
      </c>
      <c r="GM24" s="134"/>
      <c r="GN24" s="134"/>
      <c r="GO24" s="134"/>
      <c r="GP24" s="134"/>
      <c r="GQ24" s="111">
        <f>ROW()</f>
        <v>24</v>
      </c>
      <c r="GS24" s="182"/>
      <c r="GT24" s="437"/>
      <c r="GU24" s="437"/>
      <c r="GV24" s="437"/>
      <c r="GW24" s="437"/>
      <c r="GX24" s="437"/>
      <c r="GY24" s="429"/>
      <c r="GZ24" s="429"/>
      <c r="HA24" s="429"/>
      <c r="HB24" s="429"/>
      <c r="HC24" s="429"/>
      <c r="HD24" s="429"/>
      <c r="HE24" s="429"/>
      <c r="HF24" s="429"/>
      <c r="HG24" s="429"/>
      <c r="HH24" s="429"/>
      <c r="HI24" s="121"/>
      <c r="HJ24" s="121"/>
      <c r="HK24" s="121"/>
      <c r="HL24" s="121"/>
      <c r="HM24" s="121"/>
      <c r="HN24" s="121"/>
      <c r="HO24" s="121"/>
      <c r="HP24" s="121"/>
      <c r="HQ24" s="121"/>
      <c r="HR24" s="121"/>
      <c r="HS24" s="121"/>
      <c r="HT24" s="121"/>
      <c r="HU24" s="121"/>
      <c r="HV24" s="121"/>
      <c r="HW24" s="121"/>
      <c r="HX24" s="121"/>
      <c r="HY24" s="121"/>
      <c r="HZ24" s="121"/>
      <c r="IA24" s="111">
        <f>ROW()</f>
        <v>24</v>
      </c>
      <c r="IB24" s="1109" t="s">
        <v>1799</v>
      </c>
      <c r="II24" s="121"/>
      <c r="IJ24" s="121"/>
      <c r="IK24" s="121"/>
      <c r="IL24" s="121"/>
      <c r="IM24" s="121"/>
      <c r="IN24" s="121"/>
      <c r="IO24" s="121"/>
      <c r="IP24" s="121"/>
      <c r="IQ24" s="121"/>
      <c r="IR24" s="121"/>
      <c r="IS24" s="111"/>
      <c r="IZ24" s="114"/>
      <c r="JA24" s="121"/>
      <c r="JB24" s="121"/>
      <c r="JC24" s="121"/>
      <c r="JD24" s="121"/>
      <c r="JE24" s="121"/>
      <c r="JF24" s="121"/>
      <c r="JG24" s="121"/>
      <c r="JH24" s="121"/>
      <c r="JI24" s="121"/>
      <c r="JJ24" s="121"/>
      <c r="JK24" s="111"/>
      <c r="KU24" s="111">
        <f>ROW()</f>
        <v>24</v>
      </c>
      <c r="KV24" s="249" t="s">
        <v>264</v>
      </c>
      <c r="KW24" s="232"/>
      <c r="KX24" s="134">
        <v>-72934.42749673716</v>
      </c>
      <c r="KY24" s="134">
        <v>0</v>
      </c>
      <c r="KZ24" s="181">
        <f t="shared" si="21"/>
        <v>-72934.42749673716</v>
      </c>
      <c r="LA24" s="134">
        <v>0</v>
      </c>
      <c r="LB24" s="181">
        <f t="shared" si="22"/>
        <v>-72934.42749673716</v>
      </c>
      <c r="LC24" s="134">
        <v>0</v>
      </c>
      <c r="LD24" s="181">
        <f t="shared" si="23"/>
        <v>-72934.42749673716</v>
      </c>
      <c r="LE24" s="134">
        <v>0</v>
      </c>
      <c r="LF24" s="181">
        <f t="shared" si="24"/>
        <v>-72934.42749673716</v>
      </c>
      <c r="LG24" s="134">
        <v>0</v>
      </c>
      <c r="LH24" s="181">
        <f t="shared" si="25"/>
        <v>-72934.42749673716</v>
      </c>
      <c r="LI24" s="134">
        <v>0</v>
      </c>
      <c r="LJ24" s="181"/>
      <c r="LK24" s="134">
        <v>0</v>
      </c>
      <c r="LL24" s="181">
        <f t="shared" si="25"/>
        <v>0</v>
      </c>
      <c r="LM24" s="111"/>
      <c r="LP24" s="329"/>
      <c r="LQ24" s="329"/>
      <c r="LR24" s="329"/>
      <c r="LS24" s="329"/>
      <c r="LT24" s="329"/>
      <c r="LU24" s="329"/>
      <c r="LV24" s="329"/>
      <c r="LW24" s="329"/>
      <c r="LX24" s="329"/>
      <c r="LY24" s="329"/>
      <c r="LZ24" s="329"/>
      <c r="MA24" s="329"/>
      <c r="MB24" s="329"/>
      <c r="MC24" s="329"/>
      <c r="MD24" s="329"/>
      <c r="ME24" s="111">
        <f>ROW()</f>
        <v>24</v>
      </c>
      <c r="MF24" s="117" t="s">
        <v>1028</v>
      </c>
      <c r="MH24" s="177">
        <v>10168.686900000001</v>
      </c>
      <c r="MI24" s="177">
        <v>-10168.686900000001</v>
      </c>
      <c r="MJ24" s="177">
        <f t="shared" si="65"/>
        <v>0</v>
      </c>
      <c r="MK24" s="177">
        <v>0</v>
      </c>
      <c r="ML24" s="177">
        <f>MJ24+MK24</f>
        <v>0</v>
      </c>
      <c r="MM24" s="177"/>
      <c r="MN24" s="177">
        <f>ML24+MM24</f>
        <v>0</v>
      </c>
      <c r="MO24" s="177"/>
      <c r="MP24" s="177">
        <f>MN24+MO24</f>
        <v>0</v>
      </c>
      <c r="MQ24" s="177"/>
      <c r="MR24" s="177">
        <f>MP24+MQ24</f>
        <v>0</v>
      </c>
      <c r="MS24" s="177"/>
      <c r="MT24" s="177"/>
      <c r="MU24" s="177"/>
      <c r="MV24" s="177"/>
      <c r="MW24" s="111"/>
      <c r="NO24" s="111">
        <f>ROW()</f>
        <v>24</v>
      </c>
      <c r="NP24" s="273" t="s">
        <v>828</v>
      </c>
      <c r="NR24" s="610">
        <f t="shared" ref="NR24:NW24" si="99">SUM(NR16:NR23)</f>
        <v>0</v>
      </c>
      <c r="NS24" s="610">
        <f t="shared" si="99"/>
        <v>0</v>
      </c>
      <c r="NT24" s="610">
        <f t="shared" ref="NT24" si="100">SUM(NT16:NT23)</f>
        <v>0</v>
      </c>
      <c r="NU24" s="610">
        <f t="shared" si="99"/>
        <v>0</v>
      </c>
      <c r="NV24" s="610">
        <f t="shared" ref="NV24:OA24" si="101">SUM(NV16:NV23)</f>
        <v>0</v>
      </c>
      <c r="NW24" s="610">
        <f t="shared" si="99"/>
        <v>0</v>
      </c>
      <c r="NX24" s="610">
        <f t="shared" si="101"/>
        <v>198562522.12014264</v>
      </c>
      <c r="NY24" s="610">
        <f t="shared" si="101"/>
        <v>4179744.9499088684</v>
      </c>
      <c r="NZ24" s="610">
        <f t="shared" ref="NZ24" si="102">SUM(NZ16:NZ23)</f>
        <v>202742267.07005149</v>
      </c>
      <c r="OA24" s="610">
        <f t="shared" si="101"/>
        <v>7712671.4379226714</v>
      </c>
      <c r="OB24" s="610">
        <f t="shared" ref="OB24" si="103">SUM(OB16:OB23)</f>
        <v>210454938.50797415</v>
      </c>
      <c r="OC24" s="718">
        <f t="shared" ref="OC24:OF24" si="104">SUM(OC16:OC23)</f>
        <v>0</v>
      </c>
      <c r="OD24" s="610">
        <f t="shared" si="104"/>
        <v>0</v>
      </c>
      <c r="OE24" s="718"/>
      <c r="OF24" s="610">
        <f t="shared" si="104"/>
        <v>0</v>
      </c>
      <c r="OG24" s="111">
        <f>ROW()</f>
        <v>24</v>
      </c>
      <c r="OH24" s="1" t="s">
        <v>261</v>
      </c>
      <c r="OJ24" s="383">
        <f>OJ21</f>
        <v>28019480.875479184</v>
      </c>
      <c r="OK24" s="383">
        <f>OK21</f>
        <v>0</v>
      </c>
      <c r="OL24" s="383">
        <f>OL21</f>
        <v>28019480.875479184</v>
      </c>
      <c r="OM24" s="383">
        <f>OM21</f>
        <v>-28019480.875479184</v>
      </c>
      <c r="ON24" s="383">
        <f>ON21</f>
        <v>0</v>
      </c>
      <c r="OO24" s="383"/>
      <c r="OP24" s="383"/>
      <c r="OQ24" s="383"/>
      <c r="OR24" s="383"/>
      <c r="OS24" s="383"/>
      <c r="OT24" s="383"/>
      <c r="OU24" s="134"/>
      <c r="OV24" s="134"/>
      <c r="OW24" s="134"/>
      <c r="OX24" s="134"/>
      <c r="OY24" s="111">
        <f>ROW()</f>
        <v>24</v>
      </c>
      <c r="OZ24" s="163" t="s">
        <v>968</v>
      </c>
      <c r="PA24" s="163"/>
      <c r="PB24" s="121">
        <v>-8797412.4375027567</v>
      </c>
      <c r="PC24" s="786">
        <v>5664255.7733083395</v>
      </c>
      <c r="PD24" s="121">
        <f>SUM(PB24:PC24)</f>
        <v>-3133156.6641944172</v>
      </c>
      <c r="PE24" s="787">
        <v>-5664255.7733083395</v>
      </c>
      <c r="PF24" s="405">
        <f>SUM(PD24:PE24)</f>
        <v>-8797412.4375027567</v>
      </c>
      <c r="PG24" s="787">
        <v>0</v>
      </c>
      <c r="PH24" s="405">
        <f>SUM(PF24:PG24)</f>
        <v>-8797412.4375027567</v>
      </c>
      <c r="PI24" s="787">
        <v>0</v>
      </c>
      <c r="PJ24" s="419">
        <f>SUM(PH24:PI24)</f>
        <v>-8797412.4375027567</v>
      </c>
      <c r="PK24" s="787">
        <v>0</v>
      </c>
      <c r="PL24" s="419">
        <f>SUM(PJ24:PK24)</f>
        <v>-8797412.4375027567</v>
      </c>
      <c r="PM24" s="603"/>
      <c r="PN24" s="603"/>
      <c r="PO24" s="121"/>
      <c r="PP24" s="121"/>
      <c r="PQ24" s="111"/>
      <c r="PR24" s="163"/>
      <c r="PS24" s="163"/>
      <c r="PT24" s="121"/>
      <c r="PU24" s="121"/>
      <c r="PV24" s="121"/>
      <c r="PW24" s="121"/>
      <c r="PX24" s="121"/>
      <c r="QJ24" s="336"/>
      <c r="QK24" s="329"/>
      <c r="QL24" s="329"/>
      <c r="RB24" s="336">
        <f>ROW()</f>
        <v>24</v>
      </c>
      <c r="RC24" s="329" t="s">
        <v>992</v>
      </c>
      <c r="RD24" s="329"/>
      <c r="RE24" s="340"/>
      <c r="RF24" s="340"/>
      <c r="RG24" s="355">
        <v>0</v>
      </c>
      <c r="RH24" s="355">
        <f>RI24-RG24</f>
        <v>0</v>
      </c>
      <c r="RI24" s="368">
        <v>0</v>
      </c>
      <c r="RJ24" s="355">
        <f>RK24-RI24</f>
        <v>0</v>
      </c>
      <c r="RK24" s="368">
        <v>0</v>
      </c>
      <c r="RL24" s="355">
        <f>RM24-RK24</f>
        <v>0</v>
      </c>
      <c r="RM24" s="368">
        <v>0</v>
      </c>
      <c r="RN24" s="355">
        <f>RO24-RM24</f>
        <v>0</v>
      </c>
      <c r="RO24" s="368">
        <v>0</v>
      </c>
      <c r="RP24" s="368"/>
      <c r="RQ24" s="368"/>
      <c r="RR24" s="355"/>
      <c r="RS24" s="368"/>
      <c r="RT24" s="345">
        <f>ROW()</f>
        <v>24</v>
      </c>
      <c r="RU24" s="329" t="s">
        <v>267</v>
      </c>
      <c r="RV24" s="241"/>
      <c r="RW24" s="366"/>
      <c r="RX24" s="366"/>
      <c r="RY24" s="366">
        <f t="shared" ref="RY24:SG24" si="105">SUM(RY20:RY23)</f>
        <v>0</v>
      </c>
      <c r="RZ24" s="366">
        <f t="shared" si="105"/>
        <v>-42632.08</v>
      </c>
      <c r="SA24" s="366">
        <f t="shared" si="105"/>
        <v>-42632.08</v>
      </c>
      <c r="SB24" s="366">
        <f t="shared" si="105"/>
        <v>-254648.25999999995</v>
      </c>
      <c r="SC24" s="366">
        <f t="shared" si="105"/>
        <v>-297280.33999999997</v>
      </c>
      <c r="SD24" s="366">
        <f t="shared" si="105"/>
        <v>-629245.79000000108</v>
      </c>
      <c r="SE24" s="366">
        <f t="shared" si="105"/>
        <v>-926526.13000000105</v>
      </c>
      <c r="SF24" s="366">
        <f t="shared" si="105"/>
        <v>-629245.79000000108</v>
      </c>
      <c r="SG24" s="366">
        <f t="shared" si="105"/>
        <v>-1555771.9200000023</v>
      </c>
      <c r="SH24" s="366"/>
      <c r="SI24" s="366"/>
      <c r="SJ24" s="366"/>
      <c r="SK24" s="366"/>
      <c r="SL24" s="336">
        <f>ROW()</f>
        <v>24</v>
      </c>
      <c r="SM24" s="329" t="s">
        <v>230</v>
      </c>
      <c r="SN24" s="338">
        <v>0.21</v>
      </c>
      <c r="SO24" s="355"/>
      <c r="SP24" s="355"/>
      <c r="SQ24" s="355"/>
      <c r="SR24" s="355">
        <f t="shared" ref="SR24:SY24" si="106">SR22*-$SN$24</f>
        <v>-128366.9219301</v>
      </c>
      <c r="SS24" s="355">
        <f t="shared" si="106"/>
        <v>-128366.9219301</v>
      </c>
      <c r="ST24" s="355">
        <f t="shared" si="106"/>
        <v>-1468367.0173525501</v>
      </c>
      <c r="SU24" s="355">
        <f t="shared" si="106"/>
        <v>-1596733.9392826499</v>
      </c>
      <c r="SV24" s="355">
        <f t="shared" si="106"/>
        <v>-2237962.5784026003</v>
      </c>
      <c r="SW24" s="355">
        <f t="shared" si="106"/>
        <v>-3834696.5176852499</v>
      </c>
      <c r="SX24" s="355">
        <f t="shared" si="106"/>
        <v>-2221443.9557646005</v>
      </c>
      <c r="SY24" s="355">
        <f t="shared" si="106"/>
        <v>-6056140.4734498505</v>
      </c>
      <c r="SZ24" s="355"/>
      <c r="TA24" s="355"/>
      <c r="TB24" s="575"/>
      <c r="TC24" s="575"/>
      <c r="TE24" s="336">
        <f>ROW()</f>
        <v>24</v>
      </c>
      <c r="TF24" s="464"/>
      <c r="TG24" s="876"/>
      <c r="TH24" s="874"/>
      <c r="TI24" s="875"/>
      <c r="TJ24" s="265"/>
      <c r="TK24" s="265"/>
      <c r="TL24" s="265"/>
      <c r="TM24" s="265"/>
      <c r="TN24" s="265"/>
      <c r="TO24" s="265"/>
      <c r="TP24" s="265"/>
      <c r="TQ24" s="265"/>
      <c r="TR24" s="265"/>
      <c r="TS24"/>
      <c r="TT24"/>
      <c r="TU24"/>
      <c r="TV24"/>
      <c r="TW24"/>
      <c r="TX24" s="336">
        <f>ROW()</f>
        <v>24</v>
      </c>
      <c r="TY24" s="239" t="s">
        <v>288</v>
      </c>
      <c r="UA24" s="121">
        <f>SUM(UA21:UA23)</f>
        <v>0</v>
      </c>
      <c r="UB24" s="121">
        <f>SUM(UB21:UB23)</f>
        <v>0</v>
      </c>
      <c r="UQ24" s="345">
        <f>ROW()</f>
        <v>24</v>
      </c>
      <c r="UR24" s="341" t="s">
        <v>1274</v>
      </c>
      <c r="UT24" s="121">
        <f>SUM(UT22:UT23)</f>
        <v>-1614927.4900000002</v>
      </c>
      <c r="UU24" s="121">
        <f>SUM(UU22:UU23)</f>
        <v>1614927.4900000002</v>
      </c>
      <c r="UV24" s="121">
        <f t="shared" ref="UV24:VD24" si="107">SUM(UV22:UV23)</f>
        <v>0</v>
      </c>
      <c r="UW24" s="121">
        <f t="shared" si="107"/>
        <v>0</v>
      </c>
      <c r="UX24" s="121">
        <f t="shared" si="107"/>
        <v>0</v>
      </c>
      <c r="UY24" s="121">
        <f t="shared" si="107"/>
        <v>0</v>
      </c>
      <c r="UZ24" s="121">
        <f t="shared" si="107"/>
        <v>0</v>
      </c>
      <c r="VA24" s="121">
        <f t="shared" si="107"/>
        <v>2403256.8895737054</v>
      </c>
      <c r="VB24" s="121">
        <f t="shared" si="107"/>
        <v>2403256.8895737054</v>
      </c>
      <c r="VC24" s="121">
        <f t="shared" si="107"/>
        <v>0</v>
      </c>
      <c r="VD24" s="121">
        <f t="shared" si="107"/>
        <v>2403256.8895737054</v>
      </c>
      <c r="VJ24" s="345">
        <f>ROW()</f>
        <v>24</v>
      </c>
      <c r="VM24" s="1093"/>
      <c r="VN24" s="1093"/>
      <c r="VO24" s="1093"/>
      <c r="VP24" s="1093"/>
      <c r="VQ24" s="1093"/>
      <c r="VR24" s="1093"/>
      <c r="VS24" s="1093"/>
      <c r="VT24" s="1093"/>
      <c r="VU24" s="1093"/>
      <c r="VV24" s="1093"/>
      <c r="VW24" s="1093"/>
    </row>
    <row r="25" spans="1:610" ht="16" thickTop="1" x14ac:dyDescent="0.35">
      <c r="A25" s="111">
        <f>ROW()</f>
        <v>25</v>
      </c>
      <c r="B25" t="s">
        <v>1457</v>
      </c>
      <c r="C25" s="1188" t="s">
        <v>1869</v>
      </c>
      <c r="D25" s="1189"/>
      <c r="E25" s="1189">
        <f>'GAS COS Revenues'!$D$27</f>
        <v>565.40000000000202</v>
      </c>
      <c r="F25" s="1189"/>
      <c r="G25" s="1193"/>
      <c r="H25" s="1189"/>
      <c r="I25" s="1193"/>
      <c r="J25" s="1191"/>
      <c r="K25" s="1193"/>
      <c r="L25" s="1193"/>
      <c r="M25" s="1193"/>
      <c r="N25" s="189"/>
      <c r="O25" s="189"/>
      <c r="P25" s="189"/>
      <c r="Q25" s="189"/>
      <c r="R25" s="189"/>
      <c r="S25" s="111">
        <f>ROW()</f>
        <v>25</v>
      </c>
      <c r="T25" s="238" t="s">
        <v>1024</v>
      </c>
      <c r="U25" s="239"/>
      <c r="V25" s="121">
        <f t="shared" si="5"/>
        <v>-20587.419999999998</v>
      </c>
      <c r="W25" s="134">
        <f>'GAS COS Revenues'!E14</f>
        <v>20587.419999999998</v>
      </c>
      <c r="X25" s="134"/>
      <c r="Y25" s="134"/>
      <c r="Z25" s="134">
        <f t="shared" si="91"/>
        <v>0</v>
      </c>
      <c r="AA25" s="134"/>
      <c r="AB25" s="134">
        <f t="shared" si="92"/>
        <v>0</v>
      </c>
      <c r="AC25" s="134"/>
      <c r="AD25" s="134">
        <f t="shared" si="93"/>
        <v>0</v>
      </c>
      <c r="AE25" s="134"/>
      <c r="AF25" s="134">
        <f t="shared" si="94"/>
        <v>0</v>
      </c>
      <c r="AG25" s="134"/>
      <c r="AH25" s="134"/>
      <c r="AI25" s="134"/>
      <c r="AJ25" s="134"/>
      <c r="AK25" s="111">
        <f>ROW()</f>
        <v>25</v>
      </c>
      <c r="AL25" s="115" t="s">
        <v>274</v>
      </c>
      <c r="AM25" s="188"/>
      <c r="AN25" s="607">
        <f>SUM(AN22:AN24)</f>
        <v>344672.27855984418</v>
      </c>
      <c r="AO25" s="607">
        <f>SUM(AO22:AO24)</f>
        <v>-4104.0065083733525</v>
      </c>
      <c r="AP25" s="607">
        <f>SUM(AP22:AP24)</f>
        <v>340568.27205147082</v>
      </c>
      <c r="AQ25" s="607">
        <f>SUM(AQ22:AQ24)</f>
        <v>-1062550.2732141803</v>
      </c>
      <c r="AR25" s="607">
        <f>SUM(AR22:AR24)</f>
        <v>3673849.7172622457</v>
      </c>
      <c r="AS25" s="607"/>
      <c r="AT25" s="607"/>
      <c r="AU25" s="607"/>
      <c r="AV25" s="607"/>
      <c r="AW25" s="607"/>
      <c r="AX25" s="607"/>
      <c r="AY25" s="607"/>
      <c r="AZ25" s="607"/>
      <c r="BA25" s="607"/>
      <c r="BB25" s="607"/>
      <c r="BC25" s="111">
        <f>ROW()</f>
        <v>25</v>
      </c>
      <c r="BD25"/>
      <c r="BE25"/>
      <c r="BF25"/>
      <c r="BG25"/>
      <c r="BH25"/>
      <c r="BI25"/>
      <c r="BJ25"/>
      <c r="BK25"/>
      <c r="BL25"/>
      <c r="BM25"/>
      <c r="BN25"/>
      <c r="BO25"/>
      <c r="BP25"/>
      <c r="BQ25"/>
      <c r="BR25"/>
      <c r="BS25"/>
      <c r="BT25"/>
      <c r="BU25" s="329"/>
      <c r="BV25" s="397"/>
      <c r="CB25" s="329"/>
      <c r="CJ25" s="122"/>
      <c r="DE25" s="111"/>
      <c r="DF25" s="1"/>
      <c r="DG25" s="1"/>
      <c r="EO25" s="111">
        <f>ROW()</f>
        <v>25</v>
      </c>
      <c r="EP25" s="131" t="s">
        <v>239</v>
      </c>
      <c r="EQ25" s="135">
        <v>0.21</v>
      </c>
      <c r="ER25" s="200">
        <f t="shared" ref="ER25:FB25" si="108">-$EQ$25*ER23</f>
        <v>24968.144064032909</v>
      </c>
      <c r="ES25" s="200">
        <f t="shared" si="108"/>
        <v>3630.726977202231</v>
      </c>
      <c r="ET25" s="200">
        <f t="shared" si="108"/>
        <v>28598.871041235139</v>
      </c>
      <c r="EU25" s="200">
        <f t="shared" si="108"/>
        <v>-54116.907163354612</v>
      </c>
      <c r="EV25" s="200">
        <f t="shared" si="108"/>
        <v>-25518.036122119473</v>
      </c>
      <c r="EW25" s="200">
        <f t="shared" si="108"/>
        <v>0</v>
      </c>
      <c r="EX25" s="200">
        <f t="shared" si="108"/>
        <v>-25518.036122119473</v>
      </c>
      <c r="EY25" s="200">
        <f t="shared" si="108"/>
        <v>0</v>
      </c>
      <c r="EZ25" s="200">
        <f t="shared" si="108"/>
        <v>-25518.036122119473</v>
      </c>
      <c r="FA25" s="200">
        <f t="shared" si="108"/>
        <v>0</v>
      </c>
      <c r="FB25" s="200">
        <f t="shared" si="108"/>
        <v>-25518.036122119473</v>
      </c>
      <c r="FC25" s="200"/>
      <c r="FD25" s="200"/>
      <c r="FE25" s="200"/>
      <c r="FF25" s="200"/>
      <c r="FX25" s="111"/>
      <c r="FY25" s="111">
        <f>ROW()</f>
        <v>25</v>
      </c>
      <c r="FZ25" s="609" t="s">
        <v>269</v>
      </c>
      <c r="GB25" s="134">
        <v>1222352.8563616807</v>
      </c>
      <c r="GC25" s="134">
        <v>-347581.16605476255</v>
      </c>
      <c r="GD25" s="134">
        <f t="shared" si="11"/>
        <v>874771.69030691811</v>
      </c>
      <c r="GE25" s="134">
        <v>68731.311649185256</v>
      </c>
      <c r="GF25" s="134">
        <f t="shared" si="12"/>
        <v>943503.00195610337</v>
      </c>
      <c r="GG25" s="134">
        <v>30118.048431473668</v>
      </c>
      <c r="GH25" s="134">
        <f t="shared" si="13"/>
        <v>973621.05038757704</v>
      </c>
      <c r="GI25" s="134">
        <v>7144.4767995857401</v>
      </c>
      <c r="GJ25" s="134">
        <f t="shared" si="14"/>
        <v>980765.52718716278</v>
      </c>
      <c r="GK25" s="134">
        <v>565.25385706778616</v>
      </c>
      <c r="GL25" s="134">
        <f t="shared" si="15"/>
        <v>981330.78104423056</v>
      </c>
      <c r="GM25" s="134"/>
      <c r="GN25" s="134"/>
      <c r="GO25" s="134"/>
      <c r="GP25" s="134"/>
      <c r="GQ25" s="111">
        <f>ROW()</f>
        <v>25</v>
      </c>
      <c r="GR25" s="198" t="s">
        <v>77</v>
      </c>
      <c r="GS25" s="199"/>
      <c r="GT25" s="175"/>
      <c r="GU25" s="175"/>
      <c r="GV25" s="175"/>
      <c r="GW25" s="175"/>
      <c r="GX25" s="175"/>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1">
        <f>ROW()</f>
        <v>25</v>
      </c>
      <c r="IB25" s="1109" t="s">
        <v>1800</v>
      </c>
      <c r="II25" s="114"/>
      <c r="IJ25" s="114"/>
      <c r="IK25" s="114"/>
      <c r="IL25" s="114"/>
      <c r="IM25" s="114"/>
      <c r="IN25" s="114"/>
      <c r="IO25" s="114"/>
      <c r="IP25" s="114"/>
      <c r="IQ25" s="114"/>
      <c r="IR25" s="114"/>
      <c r="IS25" s="111"/>
      <c r="JA25" s="114"/>
      <c r="JB25" s="114"/>
      <c r="JC25" s="114"/>
      <c r="JD25" s="114"/>
      <c r="JE25" s="114"/>
      <c r="JF25" s="114"/>
      <c r="JG25" s="114"/>
      <c r="JH25" s="114"/>
      <c r="JI25" s="114"/>
      <c r="JJ25" s="114"/>
      <c r="JK25"/>
      <c r="JL25"/>
      <c r="JM25"/>
      <c r="JN25"/>
      <c r="JO25"/>
      <c r="JP25"/>
      <c r="JQ25"/>
      <c r="JR25"/>
      <c r="JS25"/>
      <c r="JT25"/>
      <c r="JU25"/>
      <c r="JV25"/>
      <c r="JW25"/>
      <c r="JX25"/>
      <c r="JY25"/>
      <c r="JZ25"/>
      <c r="KA25"/>
      <c r="KB25"/>
      <c r="KU25" s="111">
        <f>ROW()</f>
        <v>25</v>
      </c>
      <c r="KV25" s="249" t="s">
        <v>269</v>
      </c>
      <c r="KW25" s="585"/>
      <c r="KX25" s="261">
        <v>17665692.85673961</v>
      </c>
      <c r="KY25" s="261">
        <v>2036434.6902016662</v>
      </c>
      <c r="KZ25" s="197">
        <f t="shared" si="21"/>
        <v>19702127.546941277</v>
      </c>
      <c r="LA25" s="261">
        <v>0</v>
      </c>
      <c r="LB25" s="197">
        <f t="shared" si="22"/>
        <v>19702127.546941277</v>
      </c>
      <c r="LC25" s="261">
        <v>0</v>
      </c>
      <c r="LD25" s="197">
        <f t="shared" si="23"/>
        <v>19702127.546941277</v>
      </c>
      <c r="LE25" s="261">
        <v>0</v>
      </c>
      <c r="LF25" s="197">
        <f t="shared" si="24"/>
        <v>19702127.546941277</v>
      </c>
      <c r="LG25" s="261">
        <v>0</v>
      </c>
      <c r="LH25" s="197">
        <f t="shared" si="25"/>
        <v>19702127.546941277</v>
      </c>
      <c r="LI25" s="261">
        <v>0</v>
      </c>
      <c r="LJ25" s="197"/>
      <c r="LK25" s="261">
        <v>0</v>
      </c>
      <c r="LL25" s="197">
        <f t="shared" si="25"/>
        <v>0</v>
      </c>
      <c r="LM25" s="111"/>
      <c r="LP25" s="329"/>
      <c r="LR25" s="329"/>
      <c r="LS25" s="329"/>
      <c r="LT25" s="329"/>
      <c r="LU25" s="329"/>
      <c r="LV25" s="329"/>
      <c r="LW25" s="329"/>
      <c r="LX25" s="329"/>
      <c r="LY25" s="329"/>
      <c r="LZ25" s="329"/>
      <c r="MA25" s="329"/>
      <c r="MB25" s="329"/>
      <c r="MC25" s="329"/>
      <c r="MD25" s="329"/>
      <c r="ME25" s="111">
        <f>ROW()</f>
        <v>25</v>
      </c>
      <c r="MF25" s="117" t="s">
        <v>267</v>
      </c>
      <c r="MH25" s="121">
        <f t="shared" ref="MH25:MR25" si="109">SUM(MH20:MH24)</f>
        <v>194187256.84186488</v>
      </c>
      <c r="MI25" s="121">
        <f t="shared" si="109"/>
        <v>8638418.5426058415</v>
      </c>
      <c r="MJ25" s="121">
        <f t="shared" si="109"/>
        <v>202825675.3844707</v>
      </c>
      <c r="MK25" s="121">
        <f t="shared" si="109"/>
        <v>0</v>
      </c>
      <c r="ML25" s="121">
        <f t="shared" si="109"/>
        <v>202825675.3844707</v>
      </c>
      <c r="MM25" s="121">
        <f t="shared" si="109"/>
        <v>0</v>
      </c>
      <c r="MN25" s="121">
        <f t="shared" si="109"/>
        <v>202825675.3844707</v>
      </c>
      <c r="MO25" s="121">
        <f t="shared" si="109"/>
        <v>0</v>
      </c>
      <c r="MP25" s="121">
        <f t="shared" si="109"/>
        <v>202825675.3844707</v>
      </c>
      <c r="MQ25" s="121">
        <f t="shared" si="109"/>
        <v>0</v>
      </c>
      <c r="MR25" s="121">
        <f t="shared" si="109"/>
        <v>202825675.3844707</v>
      </c>
      <c r="MS25" s="121"/>
      <c r="MT25" s="121"/>
      <c r="MU25" s="121"/>
      <c r="MV25" s="121"/>
      <c r="MW25" s="111"/>
      <c r="NO25" s="111">
        <f>ROW()</f>
        <v>25</v>
      </c>
      <c r="NP25" s="274"/>
      <c r="NQ25" s="131"/>
      <c r="NR25" s="243"/>
      <c r="NS25" s="243"/>
      <c r="NT25" s="243"/>
      <c r="NU25" s="243"/>
      <c r="NV25" s="243"/>
      <c r="NW25" s="243"/>
      <c r="NX25" s="243"/>
      <c r="NY25" s="243"/>
      <c r="NZ25" s="243"/>
      <c r="OA25" s="243"/>
      <c r="OB25" s="243"/>
      <c r="OC25" s="243"/>
      <c r="OD25" s="243"/>
      <c r="OE25" s="243"/>
      <c r="OF25" s="243"/>
      <c r="OG25" s="111">
        <f>ROW()</f>
        <v>25</v>
      </c>
      <c r="OH25" s="1" t="s">
        <v>80</v>
      </c>
      <c r="OI25" s="178"/>
      <c r="OJ25" s="358"/>
      <c r="OK25" s="358"/>
      <c r="OL25" s="358"/>
      <c r="OM25" s="358"/>
      <c r="ON25" s="358"/>
      <c r="OO25" s="358"/>
      <c r="OP25" s="358"/>
      <c r="OQ25" s="358"/>
      <c r="OR25" s="358"/>
      <c r="OS25" s="358"/>
      <c r="OT25" s="358"/>
      <c r="OU25" s="134"/>
      <c r="OV25" s="134"/>
      <c r="OW25" s="134"/>
      <c r="OX25" s="134"/>
      <c r="OY25" s="111">
        <f>ROW()</f>
        <v>25</v>
      </c>
      <c r="OZ25" s="163" t="s">
        <v>967</v>
      </c>
      <c r="PA25" s="163"/>
      <c r="PB25" s="121">
        <v>-5543518.685478935</v>
      </c>
      <c r="PC25" s="787">
        <v>3569220.8296170239</v>
      </c>
      <c r="PD25" s="121">
        <f>SUM(PB25:PC25)</f>
        <v>-1974297.8558619111</v>
      </c>
      <c r="PE25" s="787">
        <v>-3569220.8296170239</v>
      </c>
      <c r="PF25" s="405">
        <f>SUM(PD25:PE25)</f>
        <v>-5543518.685478935</v>
      </c>
      <c r="PG25" s="787">
        <v>0</v>
      </c>
      <c r="PH25" s="405">
        <f>SUM(PF25:PG25)</f>
        <v>-5543518.685478935</v>
      </c>
      <c r="PI25" s="787">
        <v>0</v>
      </c>
      <c r="PJ25" s="267">
        <f>SUM(PH25:PI25)</f>
        <v>-5543518.685478935</v>
      </c>
      <c r="PK25" s="787">
        <v>0</v>
      </c>
      <c r="PL25" s="267">
        <f>SUM(PJ25:PK25)</f>
        <v>-5543518.685478935</v>
      </c>
      <c r="PM25" s="603"/>
      <c r="PN25" s="603"/>
      <c r="PO25" s="121"/>
      <c r="PP25" s="121"/>
      <c r="PQ25"/>
      <c r="PR25"/>
      <c r="PS25"/>
      <c r="PT25"/>
      <c r="PU25"/>
      <c r="PV25"/>
      <c r="PW25"/>
      <c r="PX25"/>
      <c r="PY25"/>
      <c r="PZ25"/>
      <c r="QA25"/>
      <c r="QB25"/>
      <c r="QC25"/>
      <c r="QD25"/>
      <c r="QE25"/>
      <c r="QF25"/>
      <c r="QG25"/>
      <c r="QH25"/>
      <c r="QJ25" s="329"/>
      <c r="QK25" s="329"/>
      <c r="QL25" s="329"/>
      <c r="RB25" s="336">
        <f>ROW()</f>
        <v>25</v>
      </c>
      <c r="RC25" s="329" t="s">
        <v>267</v>
      </c>
      <c r="RD25" s="329"/>
      <c r="RE25" s="337"/>
      <c r="RF25" s="337"/>
      <c r="RG25" s="356">
        <f t="shared" ref="RG25:RO25" si="110">SUM(RG21:RG24)</f>
        <v>193790199.03447071</v>
      </c>
      <c r="RH25" s="356">
        <f t="shared" si="110"/>
        <v>377748.07468491048</v>
      </c>
      <c r="RI25" s="356">
        <f t="shared" si="110"/>
        <v>194167947.10915563</v>
      </c>
      <c r="RJ25" s="356">
        <f t="shared" si="110"/>
        <v>-1968389.0846907347</v>
      </c>
      <c r="RK25" s="356">
        <f t="shared" si="110"/>
        <v>192199558.02446488</v>
      </c>
      <c r="RL25" s="356">
        <f t="shared" si="110"/>
        <v>67398212.778005093</v>
      </c>
      <c r="RM25" s="356">
        <f t="shared" si="110"/>
        <v>259597770.80246997</v>
      </c>
      <c r="RN25" s="356">
        <f t="shared" si="110"/>
        <v>-9019326.4874949716</v>
      </c>
      <c r="RO25" s="356">
        <f t="shared" si="110"/>
        <v>250578444.31497499</v>
      </c>
      <c r="RP25" s="356"/>
      <c r="RQ25" s="356"/>
      <c r="RR25" s="356"/>
      <c r="RS25" s="356"/>
      <c r="RT25" s="345">
        <f>ROW()</f>
        <v>25</v>
      </c>
      <c r="RU25" s="341"/>
      <c r="RV25" s="241"/>
      <c r="RW25" s="366"/>
      <c r="RX25" s="366"/>
      <c r="RY25" s="366"/>
      <c r="RZ25" s="366"/>
      <c r="SA25" s="366"/>
      <c r="SB25" s="366"/>
      <c r="SC25" s="366"/>
      <c r="SD25" s="366"/>
      <c r="SE25" s="366"/>
      <c r="SF25" s="366"/>
      <c r="SG25" s="366"/>
      <c r="SH25" s="366"/>
      <c r="SI25" s="366"/>
      <c r="SJ25" s="366"/>
      <c r="SK25" s="366"/>
      <c r="SL25" s="336">
        <f>ROW()</f>
        <v>25</v>
      </c>
      <c r="SM25" s="329"/>
      <c r="SN25" s="338"/>
      <c r="SO25" s="363"/>
      <c r="SP25" s="363"/>
      <c r="SQ25" s="363"/>
      <c r="SR25" s="363"/>
      <c r="SS25" s="363"/>
      <c r="ST25" s="363"/>
      <c r="SU25" s="363"/>
      <c r="SV25" s="363"/>
      <c r="SW25" s="363"/>
      <c r="SX25" s="363"/>
      <c r="SY25" s="363"/>
      <c r="SZ25" s="363"/>
      <c r="TA25" s="363"/>
      <c r="TB25" s="579"/>
      <c r="TC25" s="579"/>
      <c r="TE25" s="336">
        <f>ROW()</f>
        <v>25</v>
      </c>
      <c r="TF25" s="332" t="s">
        <v>1434</v>
      </c>
      <c r="TG25" s="870"/>
      <c r="TH25" s="877">
        <f t="shared" ref="TH25:TR25" si="111">-TH21-TH23</f>
        <v>-69091.03</v>
      </c>
      <c r="TI25" s="877">
        <f t="shared" si="111"/>
        <v>69091.03</v>
      </c>
      <c r="TJ25" s="877">
        <f t="shared" si="111"/>
        <v>0</v>
      </c>
      <c r="TK25" s="877">
        <f t="shared" si="111"/>
        <v>0</v>
      </c>
      <c r="TL25" s="877">
        <f t="shared" si="111"/>
        <v>0</v>
      </c>
      <c r="TM25" s="877">
        <f t="shared" si="111"/>
        <v>0</v>
      </c>
      <c r="TN25" s="877">
        <f t="shared" si="111"/>
        <v>0</v>
      </c>
      <c r="TO25" s="877">
        <f t="shared" si="111"/>
        <v>-48980</v>
      </c>
      <c r="TP25" s="877">
        <f t="shared" si="111"/>
        <v>-48980</v>
      </c>
      <c r="TQ25" s="877">
        <f t="shared" si="111"/>
        <v>0</v>
      </c>
      <c r="TR25" s="877">
        <f t="shared" si="111"/>
        <v>-48980</v>
      </c>
      <c r="TS25"/>
      <c r="TT25"/>
      <c r="TU25"/>
      <c r="TV25"/>
      <c r="TW25"/>
      <c r="TX25" s="336">
        <f>ROW()</f>
        <v>25</v>
      </c>
      <c r="TY25" s="3"/>
      <c r="UA25" s="178"/>
      <c r="UB25" s="178"/>
      <c r="UQ25" s="345">
        <f>ROW()</f>
        <v>25</v>
      </c>
      <c r="UR25" s="341"/>
      <c r="VJ25" s="345">
        <f>ROW()</f>
        <v>25</v>
      </c>
    </row>
    <row r="26" spans="1:610" ht="15" thickBot="1" x14ac:dyDescent="0.4">
      <c r="A26" s="111">
        <f>ROW()</f>
        <v>26</v>
      </c>
      <c r="B26" t="s">
        <v>1458</v>
      </c>
      <c r="C26" s="1188" t="s">
        <v>1869</v>
      </c>
      <c r="D26" s="1189"/>
      <c r="E26" s="1189">
        <f>'GAS COS Revenues'!$D$29</f>
        <v>1264106.10987873</v>
      </c>
      <c r="F26" s="1189"/>
      <c r="G26" s="1193"/>
      <c r="H26" s="1189"/>
      <c r="I26" s="1193"/>
      <c r="J26" s="1191"/>
      <c r="K26" s="1193"/>
      <c r="L26" s="1193"/>
      <c r="M26" s="1193"/>
      <c r="N26" s="189"/>
      <c r="O26" s="189"/>
      <c r="P26" s="189"/>
      <c r="Q26" s="189"/>
      <c r="R26" s="189"/>
      <c r="S26" s="111">
        <f>ROW()</f>
        <v>26</v>
      </c>
      <c r="T26" s="238" t="s">
        <v>275</v>
      </c>
      <c r="V26" s="121">
        <f t="shared" si="5"/>
        <v>10761434.945314044</v>
      </c>
      <c r="W26" s="134">
        <f>'GAS COS Revenues'!$E$31</f>
        <v>-10761434.945314044</v>
      </c>
      <c r="X26" s="134"/>
      <c r="Y26" s="134"/>
      <c r="Z26" s="134">
        <f t="shared" si="6"/>
        <v>0</v>
      </c>
      <c r="AA26" s="134"/>
      <c r="AB26" s="134">
        <f t="shared" si="7"/>
        <v>0</v>
      </c>
      <c r="AC26" s="134"/>
      <c r="AD26" s="134">
        <f t="shared" si="8"/>
        <v>0</v>
      </c>
      <c r="AE26" s="134"/>
      <c r="AF26" s="134">
        <f t="shared" si="9"/>
        <v>0</v>
      </c>
      <c r="AG26" s="134"/>
      <c r="AH26" s="134"/>
      <c r="AI26" s="134"/>
      <c r="AJ26" s="134"/>
      <c r="AK26" s="111">
        <f>ROW()</f>
        <v>26</v>
      </c>
      <c r="AL26" s="115"/>
      <c r="AM26" s="188"/>
      <c r="AN26" s="607"/>
      <c r="AO26" s="607"/>
      <c r="AP26" s="607"/>
      <c r="AQ26" s="607"/>
      <c r="AR26" s="607"/>
      <c r="AS26" s="607"/>
      <c r="AT26" s="607"/>
      <c r="AU26" s="607"/>
      <c r="AV26" s="607"/>
      <c r="AW26" s="607"/>
      <c r="AX26" s="607"/>
      <c r="AY26" s="607"/>
      <c r="AZ26" s="607"/>
      <c r="BA26" s="607"/>
      <c r="BB26" s="607"/>
      <c r="BC26" s="111">
        <f>ROW()</f>
        <v>26</v>
      </c>
      <c r="BU26" s="329"/>
      <c r="BV26"/>
      <c r="BW26"/>
      <c r="BX26"/>
      <c r="BY26"/>
      <c r="BZ26"/>
      <c r="CA26"/>
      <c r="CB26"/>
      <c r="DE26" s="1"/>
      <c r="DF26" s="1"/>
      <c r="DG26" s="1"/>
      <c r="EO26" s="111">
        <f>ROW()</f>
        <v>26</v>
      </c>
      <c r="EP26" s="131"/>
      <c r="EQ26" s="1"/>
      <c r="ER26" s="414"/>
      <c r="ES26" s="414"/>
      <c r="ET26" s="414"/>
      <c r="EU26" s="414"/>
      <c r="EV26" s="414"/>
      <c r="EW26" s="414"/>
      <c r="EX26" s="414"/>
      <c r="EY26" s="414"/>
      <c r="EZ26" s="414"/>
      <c r="FA26" s="414"/>
      <c r="FB26" s="414"/>
      <c r="FC26" s="414"/>
      <c r="FD26" s="414"/>
      <c r="FE26" s="414"/>
      <c r="FF26" s="414"/>
      <c r="FX26" s="111"/>
      <c r="FY26" s="111">
        <f>ROW()</f>
        <v>26</v>
      </c>
      <c r="FZ26" s="112" t="s">
        <v>276</v>
      </c>
      <c r="GA26" s="112"/>
      <c r="GB26" s="360">
        <f t="shared" ref="GB26:GL26" si="112">SUM(GB17:GB25)</f>
        <v>4028052.6473396188</v>
      </c>
      <c r="GC26" s="360">
        <f t="shared" si="112"/>
        <v>-1285971.1549736932</v>
      </c>
      <c r="GD26" s="360">
        <f t="shared" si="112"/>
        <v>2742081.4923659251</v>
      </c>
      <c r="GE26" s="360">
        <f t="shared" si="112"/>
        <v>215283.01097739013</v>
      </c>
      <c r="GF26" s="360">
        <f t="shared" si="112"/>
        <v>2957364.5033433153</v>
      </c>
      <c r="GG26" s="360">
        <f t="shared" si="112"/>
        <v>94404.097623297188</v>
      </c>
      <c r="GH26" s="360">
        <f t="shared" si="112"/>
        <v>3051768.6009666128</v>
      </c>
      <c r="GI26" s="360">
        <f t="shared" si="112"/>
        <v>22394.380275563664</v>
      </c>
      <c r="GJ26" s="360">
        <f t="shared" si="112"/>
        <v>3074162.9812421761</v>
      </c>
      <c r="GK26" s="360">
        <f t="shared" si="112"/>
        <v>1771.7896190997421</v>
      </c>
      <c r="GL26" s="360">
        <f t="shared" si="112"/>
        <v>3075934.7708612764</v>
      </c>
      <c r="GM26" s="360"/>
      <c r="GN26" s="360"/>
      <c r="GO26" s="360"/>
      <c r="GP26" s="360"/>
      <c r="GQ26" s="111">
        <f>ROW()</f>
        <v>26</v>
      </c>
      <c r="GR26" s="187" t="s">
        <v>279</v>
      </c>
      <c r="GS26" s="111"/>
      <c r="GT26" s="170">
        <f>+GT23+GT20+GT17</f>
        <v>7741464.2708000001</v>
      </c>
      <c r="GU26" s="170">
        <f>+GU23+GU20+GU17</f>
        <v>410687.99874076032</v>
      </c>
      <c r="GV26" s="170">
        <f>+GV23+GV20+GV17</f>
        <v>8152152.2695407607</v>
      </c>
      <c r="GW26" s="170">
        <f>+GW23+GW20+GW17</f>
        <v>0</v>
      </c>
      <c r="GX26" s="175">
        <f t="shared" ref="GX26:HD26" si="113">+GV26</f>
        <v>8152152.2695407607</v>
      </c>
      <c r="GY26" s="175">
        <f t="shared" si="113"/>
        <v>0</v>
      </c>
      <c r="GZ26" s="175">
        <f t="shared" si="113"/>
        <v>8152152.2695407607</v>
      </c>
      <c r="HA26" s="175">
        <f t="shared" si="113"/>
        <v>0</v>
      </c>
      <c r="HB26" s="175">
        <f t="shared" si="113"/>
        <v>8152152.2695407607</v>
      </c>
      <c r="HC26" s="175">
        <f t="shared" si="113"/>
        <v>0</v>
      </c>
      <c r="HD26" s="175">
        <f t="shared" si="113"/>
        <v>8152152.2695407607</v>
      </c>
      <c r="HE26" s="175"/>
      <c r="HF26" s="175"/>
      <c r="HG26" s="175"/>
      <c r="HH26" s="175"/>
      <c r="HI26" s="114"/>
      <c r="HJ26" s="114"/>
      <c r="HK26" s="114"/>
      <c r="HL26" s="114"/>
      <c r="HM26" s="114"/>
      <c r="HN26" s="114"/>
      <c r="HO26" s="114"/>
      <c r="HP26" s="114"/>
      <c r="HQ26" s="114"/>
      <c r="HR26" s="114"/>
      <c r="HS26" s="114"/>
      <c r="HT26" s="114"/>
      <c r="HU26" s="114"/>
      <c r="HV26" s="114"/>
      <c r="HW26" s="114"/>
      <c r="HX26" s="114"/>
      <c r="HY26" s="114"/>
      <c r="HZ26" s="114"/>
      <c r="IA26" s="111"/>
      <c r="II26" s="114"/>
      <c r="IJ26" s="114"/>
      <c r="IK26" s="114"/>
      <c r="IL26" s="114"/>
      <c r="IM26" s="114"/>
      <c r="IN26" s="114"/>
      <c r="IO26" s="114"/>
      <c r="IP26" s="114"/>
      <c r="IQ26" s="114"/>
      <c r="IR26" s="114"/>
      <c r="JA26" s="114"/>
      <c r="JB26" s="114"/>
      <c r="JC26" s="114"/>
      <c r="JD26" s="114"/>
      <c r="JE26" s="114"/>
      <c r="JF26" s="114"/>
      <c r="JG26" s="114"/>
      <c r="JH26" s="114"/>
      <c r="JI26" s="114"/>
      <c r="JJ26" s="114"/>
      <c r="JK26"/>
      <c r="JL26"/>
      <c r="JM26"/>
      <c r="JN26"/>
      <c r="JO26"/>
      <c r="JP26"/>
      <c r="JQ26"/>
      <c r="JR26"/>
      <c r="JS26"/>
      <c r="JT26"/>
      <c r="JU26"/>
      <c r="JV26"/>
      <c r="JW26"/>
      <c r="JX26"/>
      <c r="JY26"/>
      <c r="JZ26"/>
      <c r="KA26"/>
      <c r="KB26"/>
      <c r="KU26" s="111">
        <f>ROW()</f>
        <v>26</v>
      </c>
      <c r="KV26" s="232" t="s">
        <v>277</v>
      </c>
      <c r="KW26" s="232"/>
      <c r="KX26" s="372">
        <f t="shared" ref="KX26:LI26" si="114">SUM(KX17:KX25)</f>
        <v>58214248.790019445</v>
      </c>
      <c r="KY26" s="372">
        <f t="shared" si="114"/>
        <v>3541219.1484670783</v>
      </c>
      <c r="KZ26" s="372">
        <f t="shared" si="114"/>
        <v>61755467.938486516</v>
      </c>
      <c r="LA26" s="372">
        <f t="shared" ref="LA26:LC26" si="115">SUM(LA17:LA25)</f>
        <v>0</v>
      </c>
      <c r="LB26" s="372">
        <f t="shared" si="114"/>
        <v>61755467.938486516</v>
      </c>
      <c r="LC26" s="372">
        <f t="shared" si="115"/>
        <v>0</v>
      </c>
      <c r="LD26" s="372">
        <f t="shared" si="114"/>
        <v>61755467.938486516</v>
      </c>
      <c r="LE26" s="372">
        <f t="shared" si="114"/>
        <v>0</v>
      </c>
      <c r="LF26" s="372">
        <f t="shared" si="114"/>
        <v>61755467.938486516</v>
      </c>
      <c r="LG26" s="372">
        <f t="shared" si="114"/>
        <v>0</v>
      </c>
      <c r="LH26" s="372">
        <f t="shared" si="114"/>
        <v>61755467.938486516</v>
      </c>
      <c r="LI26" s="372">
        <f t="shared" si="114"/>
        <v>0</v>
      </c>
      <c r="LJ26" s="372">
        <f t="shared" ref="LJ26" si="116">SUM(LJ17:LJ25)</f>
        <v>0</v>
      </c>
      <c r="LK26" s="372">
        <f t="shared" ref="LK26:LL26" si="117">SUM(LK17:LK25)</f>
        <v>0</v>
      </c>
      <c r="LL26" s="372">
        <f t="shared" si="117"/>
        <v>0</v>
      </c>
      <c r="LM26" s="111"/>
      <c r="LP26" s="329"/>
      <c r="LR26" s="329"/>
      <c r="LS26" s="329"/>
      <c r="LT26" s="329"/>
      <c r="LU26" s="329"/>
      <c r="LV26" s="329"/>
      <c r="LW26" s="329"/>
      <c r="LX26" s="329"/>
      <c r="LY26" s="329"/>
      <c r="LZ26" s="329"/>
      <c r="MA26" s="329"/>
      <c r="MB26" s="329"/>
      <c r="MC26" s="329"/>
      <c r="MD26" s="329"/>
      <c r="ME26" s="111">
        <f>ROW()</f>
        <v>26</v>
      </c>
      <c r="MJ26"/>
      <c r="MK26"/>
      <c r="ML26"/>
      <c r="MM26"/>
      <c r="MN26"/>
      <c r="MO26"/>
      <c r="MP26"/>
      <c r="MQ26"/>
      <c r="MR26"/>
      <c r="MS26"/>
      <c r="MT26"/>
      <c r="MU26"/>
      <c r="MV26"/>
      <c r="MW26" s="111"/>
      <c r="NO26" s="111">
        <f>ROW()</f>
        <v>26</v>
      </c>
      <c r="NP26" s="275" t="s">
        <v>830</v>
      </c>
      <c r="NQ26" s="205"/>
      <c r="NR26" s="121">
        <f t="shared" ref="NR26:OF26" si="118">SUM(NR24)</f>
        <v>0</v>
      </c>
      <c r="NS26" s="121">
        <f t="shared" si="118"/>
        <v>0</v>
      </c>
      <c r="NT26" s="121">
        <f t="shared" si="118"/>
        <v>0</v>
      </c>
      <c r="NU26" s="121">
        <f t="shared" si="118"/>
        <v>0</v>
      </c>
      <c r="NV26" s="121">
        <f t="shared" si="118"/>
        <v>0</v>
      </c>
      <c r="NW26" s="121">
        <f t="shared" si="118"/>
        <v>0</v>
      </c>
      <c r="NX26" s="121">
        <f t="shared" si="118"/>
        <v>198562522.12014264</v>
      </c>
      <c r="NY26" s="121">
        <f t="shared" si="118"/>
        <v>4179744.9499088684</v>
      </c>
      <c r="NZ26" s="121">
        <f t="shared" ref="NZ26" si="119">SUM(NZ24)</f>
        <v>202742267.07005149</v>
      </c>
      <c r="OA26" s="121">
        <f t="shared" si="118"/>
        <v>7712671.4379226714</v>
      </c>
      <c r="OB26" s="121">
        <f t="shared" ref="OB26:OC26" si="120">SUM(OB24)</f>
        <v>210454938.50797415</v>
      </c>
      <c r="OC26" s="121">
        <f t="shared" si="120"/>
        <v>0</v>
      </c>
      <c r="OD26" s="121">
        <f t="shared" ref="OD26" si="121">SUM(OD24)</f>
        <v>0</v>
      </c>
      <c r="OE26" s="121">
        <f t="shared" si="118"/>
        <v>0</v>
      </c>
      <c r="OF26" s="121">
        <f t="shared" si="118"/>
        <v>0</v>
      </c>
      <c r="OG26" s="111">
        <f>ROW()</f>
        <v>26</v>
      </c>
      <c r="OH26" s="121" t="s">
        <v>834</v>
      </c>
      <c r="OI26" s="121"/>
      <c r="OJ26" s="359"/>
      <c r="OK26" s="359"/>
      <c r="OL26" s="359"/>
      <c r="OM26" s="359"/>
      <c r="ON26" s="359"/>
      <c r="OO26" s="359"/>
      <c r="OP26" s="359"/>
      <c r="OQ26" s="359"/>
      <c r="OR26" s="359"/>
      <c r="OS26" s="359"/>
      <c r="OT26" s="359"/>
      <c r="OU26" s="134"/>
      <c r="OV26" s="134"/>
      <c r="OW26" s="134"/>
      <c r="OX26" s="134"/>
      <c r="OY26" s="111">
        <f>ROW()</f>
        <v>26</v>
      </c>
      <c r="OZ26" s="163"/>
      <c r="PA26" s="163"/>
      <c r="PB26" s="121"/>
      <c r="PC26" s="121"/>
      <c r="PD26" s="121"/>
      <c r="PE26" s="405"/>
      <c r="PF26" s="405"/>
      <c r="PG26" s="405"/>
      <c r="PH26" s="405"/>
      <c r="PI26" s="405"/>
      <c r="PJ26" s="267"/>
      <c r="PK26" s="405"/>
      <c r="PL26" s="267"/>
      <c r="PM26" s="603"/>
      <c r="PN26" s="603"/>
      <c r="PO26" s="121"/>
      <c r="PP26" s="121"/>
      <c r="PQ26"/>
      <c r="PR26"/>
      <c r="PS26"/>
      <c r="PT26"/>
      <c r="PU26"/>
      <c r="PV26"/>
      <c r="PW26"/>
      <c r="PX26"/>
      <c r="PY26"/>
      <c r="PZ26"/>
      <c r="QA26"/>
      <c r="QB26"/>
      <c r="QC26"/>
      <c r="QD26"/>
      <c r="QE26"/>
      <c r="QF26"/>
      <c r="QG26"/>
      <c r="QH26"/>
      <c r="RB26" s="336">
        <f>ROW()</f>
        <v>26</v>
      </c>
      <c r="RC26" s="329"/>
      <c r="RD26" s="329"/>
      <c r="RE26" s="341"/>
      <c r="RF26" s="341"/>
      <c r="RG26" s="356"/>
      <c r="RH26" s="356"/>
      <c r="RI26" s="356"/>
      <c r="RJ26" s="356"/>
      <c r="RK26" s="356"/>
      <c r="RL26" s="356"/>
      <c r="RM26" s="356"/>
      <c r="RN26" s="356"/>
      <c r="RO26" s="356"/>
      <c r="RP26" s="356"/>
      <c r="RQ26" s="356"/>
      <c r="RR26" s="356"/>
      <c r="RS26" s="356"/>
      <c r="RT26" s="345">
        <f>ROW()</f>
        <v>26</v>
      </c>
      <c r="RU26" s="341" t="s">
        <v>274</v>
      </c>
      <c r="RV26" s="241"/>
      <c r="RW26" s="366"/>
      <c r="RX26" s="366"/>
      <c r="RY26" s="366">
        <f t="shared" ref="RY26:SG26" si="122">RY24</f>
        <v>0</v>
      </c>
      <c r="RZ26" s="366">
        <f t="shared" si="122"/>
        <v>-42632.08</v>
      </c>
      <c r="SA26" s="366">
        <f t="shared" si="122"/>
        <v>-42632.08</v>
      </c>
      <c r="SB26" s="366">
        <f t="shared" si="122"/>
        <v>-254648.25999999995</v>
      </c>
      <c r="SC26" s="366">
        <f t="shared" si="122"/>
        <v>-297280.33999999997</v>
      </c>
      <c r="SD26" s="366">
        <f t="shared" si="122"/>
        <v>-629245.79000000108</v>
      </c>
      <c r="SE26" s="366">
        <f t="shared" si="122"/>
        <v>-926526.13000000105</v>
      </c>
      <c r="SF26" s="366">
        <f t="shared" si="122"/>
        <v>-629245.79000000108</v>
      </c>
      <c r="SG26" s="366">
        <f t="shared" si="122"/>
        <v>-1555771.9200000023</v>
      </c>
      <c r="SH26" s="366"/>
      <c r="SI26" s="366"/>
      <c r="SJ26" s="366"/>
      <c r="SK26" s="366"/>
      <c r="SL26" s="336">
        <f>ROW()</f>
        <v>26</v>
      </c>
      <c r="SM26" s="329" t="s">
        <v>224</v>
      </c>
      <c r="SN26" s="338"/>
      <c r="SO26" s="364"/>
      <c r="SP26" s="364"/>
      <c r="SQ26" s="364"/>
      <c r="SR26" s="364">
        <f t="shared" ref="SR26:SY26" si="123">-SR22-SR24</f>
        <v>-482904.13487989997</v>
      </c>
      <c r="SS26" s="364">
        <f t="shared" si="123"/>
        <v>-482904.13487989997</v>
      </c>
      <c r="ST26" s="364">
        <f t="shared" si="123"/>
        <v>-5523856.8748024497</v>
      </c>
      <c r="SU26" s="364">
        <f t="shared" si="123"/>
        <v>-6006761.0096823499</v>
      </c>
      <c r="SV26" s="364">
        <f t="shared" si="123"/>
        <v>-8419002.0806574002</v>
      </c>
      <c r="SW26" s="364">
        <f t="shared" si="123"/>
        <v>-14425763.09033975</v>
      </c>
      <c r="SX26" s="364">
        <f t="shared" si="123"/>
        <v>-8356860.595495401</v>
      </c>
      <c r="SY26" s="364">
        <f t="shared" si="123"/>
        <v>-22782623.685835153</v>
      </c>
      <c r="SZ26" s="364"/>
      <c r="TA26" s="364"/>
      <c r="TB26" s="578"/>
      <c r="TC26" s="578"/>
      <c r="TE26" s="336">
        <f>ROW()</f>
        <v>26</v>
      </c>
      <c r="TK26"/>
      <c r="TL26"/>
      <c r="TM26"/>
      <c r="TN26"/>
      <c r="TO26"/>
      <c r="TP26"/>
      <c r="TQ26"/>
      <c r="TR26"/>
      <c r="TS26"/>
      <c r="TT26"/>
      <c r="TU26"/>
      <c r="TV26"/>
      <c r="TW26"/>
      <c r="TX26" s="336">
        <f>ROW()</f>
        <v>26</v>
      </c>
      <c r="TY26" s="3" t="s">
        <v>1097</v>
      </c>
      <c r="UA26" s="121"/>
      <c r="UB26" s="121"/>
      <c r="UC26" s="121"/>
      <c r="UD26" s="121"/>
      <c r="UE26" s="121"/>
      <c r="UF26" s="121"/>
      <c r="UG26" s="121"/>
      <c r="UH26" s="121"/>
      <c r="UI26" s="121"/>
      <c r="UJ26" s="121"/>
      <c r="UK26" s="121"/>
      <c r="UL26" s="121"/>
      <c r="UM26" s="121"/>
      <c r="UN26" s="121"/>
      <c r="UO26" s="121"/>
      <c r="UQ26" s="345">
        <f>ROW()</f>
        <v>26</v>
      </c>
      <c r="UR26" s="117" t="s">
        <v>249</v>
      </c>
      <c r="US26" s="320">
        <v>0.21</v>
      </c>
      <c r="UT26" s="835">
        <f>-$US$26*UT24</f>
        <v>339134.77290000004</v>
      </c>
      <c r="UU26" s="835">
        <f>-$US$26*UU24</f>
        <v>-339134.77290000004</v>
      </c>
      <c r="UV26" s="835">
        <f t="shared" ref="UV26:UZ26" si="124">-$US$26*UV24</f>
        <v>0</v>
      </c>
      <c r="UW26" s="835">
        <f t="shared" si="124"/>
        <v>0</v>
      </c>
      <c r="UX26" s="835">
        <f t="shared" si="124"/>
        <v>0</v>
      </c>
      <c r="UY26" s="835">
        <f t="shared" si="124"/>
        <v>0</v>
      </c>
      <c r="UZ26" s="835">
        <f t="shared" si="124"/>
        <v>0</v>
      </c>
      <c r="VA26" s="835">
        <f>-$VA$24*US26</f>
        <v>-504683.94681047811</v>
      </c>
      <c r="VB26" s="835">
        <f>-$VB$24*US26</f>
        <v>-504683.94681047811</v>
      </c>
      <c r="VC26" s="835">
        <f>-$VC$24*US26</f>
        <v>0</v>
      </c>
      <c r="VD26" s="835">
        <f>-$VD$24*US26</f>
        <v>-504683.94681047811</v>
      </c>
      <c r="VJ26" s="345">
        <f>ROW()</f>
        <v>26</v>
      </c>
      <c r="VK26" s="3"/>
    </row>
    <row r="27" spans="1:610" ht="16.5" customHeight="1" thickTop="1" thickBot="1" x14ac:dyDescent="0.4">
      <c r="A27" s="111">
        <f>ROW()</f>
        <v>27</v>
      </c>
      <c r="B27" t="s">
        <v>1459</v>
      </c>
      <c r="C27" s="1188" t="s">
        <v>1869</v>
      </c>
      <c r="D27" s="1192"/>
      <c r="E27" s="1192"/>
      <c r="F27" s="1189"/>
      <c r="G27" s="1192">
        <f>'GAS COS Revenues'!$D$33</f>
        <v>-11478597.794676207</v>
      </c>
      <c r="H27" s="1189"/>
      <c r="I27" s="1193"/>
      <c r="J27" s="1191"/>
      <c r="K27" s="1193"/>
      <c r="L27" s="1193"/>
      <c r="M27" s="1193"/>
      <c r="N27" s="189"/>
      <c r="O27" s="189"/>
      <c r="P27" s="189"/>
      <c r="Q27" s="189"/>
      <c r="R27" s="189"/>
      <c r="S27" s="111">
        <f>ROW()</f>
        <v>27</v>
      </c>
      <c r="T27" s="238" t="s">
        <v>278</v>
      </c>
      <c r="U27" s="239"/>
      <c r="V27" s="121">
        <f t="shared" si="5"/>
        <v>-10273081.529999999</v>
      </c>
      <c r="W27" s="134">
        <f>'GAS COS Revenues'!$E$32</f>
        <v>10273081.529999999</v>
      </c>
      <c r="X27" s="134"/>
      <c r="Y27" s="134"/>
      <c r="Z27" s="134">
        <f t="shared" si="6"/>
        <v>0</v>
      </c>
      <c r="AA27" s="134"/>
      <c r="AB27" s="134">
        <f t="shared" si="7"/>
        <v>0</v>
      </c>
      <c r="AC27" s="134"/>
      <c r="AD27" s="134">
        <f t="shared" si="8"/>
        <v>0</v>
      </c>
      <c r="AE27" s="134"/>
      <c r="AF27" s="134">
        <f t="shared" si="9"/>
        <v>0</v>
      </c>
      <c r="AG27" s="134"/>
      <c r="AH27" s="134"/>
      <c r="AI27" s="134"/>
      <c r="AJ27" s="134"/>
      <c r="AK27" s="111">
        <f>ROW()</f>
        <v>27</v>
      </c>
      <c r="AL27" s="112" t="s">
        <v>228</v>
      </c>
      <c r="AM27" s="179"/>
      <c r="AN27" s="189">
        <f>AN20-AN25</f>
        <v>7263987.2922976436</v>
      </c>
      <c r="AO27" s="189">
        <f>AO20-AO25</f>
        <v>-86492.163654393822</v>
      </c>
      <c r="AP27" s="189">
        <f>AP20-AP25</f>
        <v>7177495.1286432501</v>
      </c>
      <c r="AQ27" s="189">
        <f>AQ20-AQ25</f>
        <v>-22393305.647628654</v>
      </c>
      <c r="AR27" s="189">
        <f>AR20-AR25</f>
        <v>77426585.542389989</v>
      </c>
      <c r="AS27" s="189"/>
      <c r="AT27" s="189"/>
      <c r="AU27" s="189"/>
      <c r="AV27" s="189"/>
      <c r="AW27" s="189"/>
      <c r="AX27" s="189"/>
      <c r="AY27" s="189"/>
      <c r="AZ27" s="189"/>
      <c r="BA27" s="189"/>
      <c r="BB27" s="189"/>
      <c r="BC27" s="111">
        <f>ROW()</f>
        <v>27</v>
      </c>
      <c r="BD27" s="1" t="s">
        <v>905</v>
      </c>
      <c r="BV27"/>
      <c r="BW27"/>
      <c r="BX27"/>
      <c r="BY27"/>
      <c r="BZ27"/>
      <c r="CA27"/>
      <c r="CB27"/>
      <c r="DE27" s="111"/>
      <c r="DF27" s="1"/>
      <c r="DG27" s="1"/>
      <c r="DH27" s="1"/>
      <c r="DI27" s="1"/>
      <c r="DJ27" s="1"/>
      <c r="DK27" s="1"/>
      <c r="DL27" s="1"/>
      <c r="EO27" s="111">
        <f>ROW()</f>
        <v>27</v>
      </c>
      <c r="EP27" s="112" t="s">
        <v>254</v>
      </c>
      <c r="EQ27" s="112"/>
      <c r="ER27" s="382">
        <f t="shared" ref="ER27:FB27" si="125">-ER23-ER25</f>
        <v>93927.780050409521</v>
      </c>
      <c r="ES27" s="382">
        <f t="shared" si="125"/>
        <v>13658.449104713156</v>
      </c>
      <c r="ET27" s="382">
        <f t="shared" si="125"/>
        <v>107586.22915512268</v>
      </c>
      <c r="EU27" s="382">
        <f t="shared" si="125"/>
        <v>-203582.65075738163</v>
      </c>
      <c r="EV27" s="382">
        <f t="shared" si="125"/>
        <v>-95996.421602258968</v>
      </c>
      <c r="EW27" s="382">
        <f t="shared" si="125"/>
        <v>0</v>
      </c>
      <c r="EX27" s="382">
        <f t="shared" si="125"/>
        <v>-95996.421602258968</v>
      </c>
      <c r="EY27" s="382">
        <f t="shared" si="125"/>
        <v>0</v>
      </c>
      <c r="EZ27" s="382">
        <f t="shared" si="125"/>
        <v>-95996.421602258968</v>
      </c>
      <c r="FA27" s="382">
        <f t="shared" si="125"/>
        <v>0</v>
      </c>
      <c r="FB27" s="382">
        <f t="shared" si="125"/>
        <v>-95996.421602258968</v>
      </c>
      <c r="FC27" s="382"/>
      <c r="FD27" s="382"/>
      <c r="FE27" s="382"/>
      <c r="FF27" s="382"/>
      <c r="FX27" s="111"/>
      <c r="FY27" s="111">
        <f>ROW()</f>
        <v>27</v>
      </c>
      <c r="GB27" s="114"/>
      <c r="GC27" s="114">
        <f>+GD27-GB27</f>
        <v>0</v>
      </c>
      <c r="GD27" s="114">
        <v>0</v>
      </c>
      <c r="GE27" s="114">
        <f>+GF27-GD27</f>
        <v>0</v>
      </c>
      <c r="GF27" s="114">
        <v>0</v>
      </c>
      <c r="GG27" s="114">
        <f>+GH27-GF27</f>
        <v>0</v>
      </c>
      <c r="GH27" s="114">
        <v>0</v>
      </c>
      <c r="GI27" s="114">
        <f>+GJ27-GH27</f>
        <v>0</v>
      </c>
      <c r="GJ27" s="114">
        <v>0</v>
      </c>
      <c r="GK27" s="114">
        <f>+GL27-GJ27</f>
        <v>0</v>
      </c>
      <c r="GL27" s="114">
        <v>0</v>
      </c>
      <c r="GM27" s="114"/>
      <c r="GN27" s="114"/>
      <c r="GO27" s="114"/>
      <c r="GP27" s="114"/>
      <c r="GQ27" s="111">
        <f>ROW()</f>
        <v>27</v>
      </c>
      <c r="GR27" s="201"/>
      <c r="GS27" s="186"/>
      <c r="GT27" s="414"/>
      <c r="GU27" s="414"/>
      <c r="GV27" s="414"/>
      <c r="GW27" s="414"/>
      <c r="GX27" s="414"/>
      <c r="GY27" s="414"/>
      <c r="GZ27" s="414"/>
      <c r="HA27" s="414"/>
      <c r="HB27" s="414"/>
      <c r="HC27" s="414"/>
      <c r="HD27" s="414"/>
      <c r="HE27" s="414"/>
      <c r="HF27" s="414"/>
      <c r="HG27" s="414"/>
      <c r="HH27" s="414"/>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JA27" s="121"/>
      <c r="JB27" s="121"/>
      <c r="JC27" s="121"/>
      <c r="JD27" s="121"/>
      <c r="JE27" s="121"/>
      <c r="JF27" s="121"/>
      <c r="JG27" s="121"/>
      <c r="JH27" s="121"/>
      <c r="JI27" s="121"/>
      <c r="JJ27" s="121"/>
      <c r="JK27"/>
      <c r="JL27"/>
      <c r="JM27"/>
      <c r="JN27"/>
      <c r="JO27"/>
      <c r="JP27"/>
      <c r="JQ27"/>
      <c r="JR27"/>
      <c r="JS27"/>
      <c r="JT27"/>
      <c r="JU27"/>
      <c r="JV27"/>
      <c r="JW27"/>
      <c r="JX27"/>
      <c r="JY27"/>
      <c r="JZ27"/>
      <c r="KA27"/>
      <c r="KB27"/>
      <c r="KU27" s="111">
        <f>ROW()</f>
        <v>27</v>
      </c>
      <c r="KV27" s="241"/>
      <c r="KW27" s="232"/>
      <c r="KX27" s="134"/>
      <c r="KY27" s="134"/>
      <c r="KZ27" s="181"/>
      <c r="LA27" s="134"/>
      <c r="LB27" s="181"/>
      <c r="LC27" s="134"/>
      <c r="LD27" s="181"/>
      <c r="LE27" s="134"/>
      <c r="LF27" s="181"/>
      <c r="LG27" s="134"/>
      <c r="LH27" s="181"/>
      <c r="LI27" s="134"/>
      <c r="LJ27" s="181"/>
      <c r="LK27" s="134"/>
      <c r="LL27" s="181"/>
      <c r="LM27" s="111"/>
      <c r="LP27" s="329"/>
      <c r="LR27" s="329"/>
      <c r="LS27" s="329"/>
      <c r="LT27" s="329"/>
      <c r="LU27" s="329"/>
      <c r="LV27" s="329"/>
      <c r="LW27" s="329"/>
      <c r="LX27" s="329"/>
      <c r="LY27" s="329"/>
      <c r="LZ27" s="329"/>
      <c r="MA27" s="329"/>
      <c r="MB27" s="329"/>
      <c r="MC27" s="329"/>
      <c r="MD27" s="329"/>
      <c r="ME27" s="111">
        <f>ROW()</f>
        <v>27</v>
      </c>
      <c r="MF27" s="117" t="s">
        <v>274</v>
      </c>
      <c r="MH27" s="121">
        <f t="shared" ref="MH27:MR27" si="126">MH25</f>
        <v>194187256.84186488</v>
      </c>
      <c r="MI27" s="121">
        <f t="shared" si="126"/>
        <v>8638418.5426058415</v>
      </c>
      <c r="MJ27" s="121">
        <f t="shared" si="126"/>
        <v>202825675.3844707</v>
      </c>
      <c r="MK27" s="121">
        <f t="shared" si="126"/>
        <v>0</v>
      </c>
      <c r="ML27" s="121">
        <f t="shared" si="126"/>
        <v>202825675.3844707</v>
      </c>
      <c r="MM27" s="121">
        <f t="shared" si="126"/>
        <v>0</v>
      </c>
      <c r="MN27" s="121">
        <f t="shared" si="126"/>
        <v>202825675.3844707</v>
      </c>
      <c r="MO27" s="121">
        <f t="shared" si="126"/>
        <v>0</v>
      </c>
      <c r="MP27" s="121">
        <f t="shared" si="126"/>
        <v>202825675.3844707</v>
      </c>
      <c r="MQ27" s="121">
        <f t="shared" si="126"/>
        <v>0</v>
      </c>
      <c r="MR27" s="121">
        <f t="shared" si="126"/>
        <v>202825675.3844707</v>
      </c>
      <c r="MS27" s="121"/>
      <c r="MT27" s="121"/>
      <c r="MU27" s="121"/>
      <c r="MV27" s="121"/>
      <c r="MW27" s="111"/>
      <c r="NO27" s="111">
        <f>ROW()</f>
        <v>27</v>
      </c>
      <c r="NP27" s="276"/>
      <c r="NR27" s="121"/>
      <c r="NS27" s="121"/>
      <c r="NT27" s="121"/>
      <c r="NU27" s="121"/>
      <c r="NV27" s="175"/>
      <c r="NW27" s="121"/>
      <c r="NX27" s="121"/>
      <c r="NY27" s="121"/>
      <c r="NZ27" s="175"/>
      <c r="OA27" s="121"/>
      <c r="OB27" s="175"/>
      <c r="OC27" s="175"/>
      <c r="OD27" s="175"/>
      <c r="OE27" s="121"/>
      <c r="OF27" s="175"/>
      <c r="OG27" s="111">
        <f>ROW()</f>
        <v>27</v>
      </c>
      <c r="OH27" s="121" t="s">
        <v>80</v>
      </c>
      <c r="OI27" s="121"/>
      <c r="OJ27" s="358"/>
      <c r="OK27" s="358"/>
      <c r="OL27" s="358"/>
      <c r="OM27" s="358"/>
      <c r="ON27" s="358"/>
      <c r="OO27" s="358"/>
      <c r="OP27" s="358"/>
      <c r="OQ27" s="358"/>
      <c r="OR27" s="358"/>
      <c r="OS27" s="358"/>
      <c r="OT27" s="358"/>
      <c r="OU27" s="381"/>
      <c r="OV27" s="381"/>
      <c r="OW27" s="381"/>
      <c r="OX27" s="381"/>
      <c r="OY27" s="111">
        <f>ROW()</f>
        <v>27</v>
      </c>
      <c r="OZ27" s="112" t="s">
        <v>969</v>
      </c>
      <c r="PA27" s="163"/>
      <c r="PB27" s="770">
        <f t="shared" ref="PB27:PL27" si="127">SUM(PB24:PB26)</f>
        <v>-14340931.122981692</v>
      </c>
      <c r="PC27" s="770">
        <f t="shared" si="127"/>
        <v>9233476.6029253639</v>
      </c>
      <c r="PD27" s="770">
        <f t="shared" si="127"/>
        <v>-5107454.5200563278</v>
      </c>
      <c r="PE27" s="770">
        <f t="shared" si="127"/>
        <v>-9233476.6029253639</v>
      </c>
      <c r="PF27" s="407">
        <f t="shared" si="127"/>
        <v>-14340931.122981692</v>
      </c>
      <c r="PG27" s="407">
        <f t="shared" si="127"/>
        <v>0</v>
      </c>
      <c r="PH27" s="407">
        <f t="shared" si="127"/>
        <v>-14340931.122981692</v>
      </c>
      <c r="PI27" s="407">
        <f t="shared" si="127"/>
        <v>0</v>
      </c>
      <c r="PJ27" s="770">
        <f t="shared" si="127"/>
        <v>-14340931.122981692</v>
      </c>
      <c r="PK27" s="407">
        <f t="shared" si="127"/>
        <v>0</v>
      </c>
      <c r="PL27" s="770">
        <f t="shared" si="127"/>
        <v>-14340931.122981692</v>
      </c>
      <c r="PM27" s="606"/>
      <c r="PN27" s="606"/>
      <c r="PO27" s="429"/>
      <c r="PP27" s="429"/>
      <c r="PQ27"/>
      <c r="PR27"/>
      <c r="PS27"/>
      <c r="PT27"/>
      <c r="PU27"/>
      <c r="PV27"/>
      <c r="PW27"/>
      <c r="PX27"/>
      <c r="PY27"/>
      <c r="PZ27"/>
      <c r="QA27"/>
      <c r="QB27"/>
      <c r="QC27"/>
      <c r="QD27"/>
      <c r="QE27"/>
      <c r="QF27"/>
      <c r="QG27"/>
      <c r="QH27"/>
      <c r="RB27" s="336">
        <f>ROW()</f>
        <v>27</v>
      </c>
      <c r="RC27" s="329" t="s">
        <v>274</v>
      </c>
      <c r="RD27" s="329"/>
      <c r="RE27" s="337"/>
      <c r="RF27" s="337"/>
      <c r="RG27" s="356">
        <f t="shared" ref="RG27:RO27" si="128">RG25</f>
        <v>193790199.03447071</v>
      </c>
      <c r="RH27" s="356">
        <f t="shared" si="128"/>
        <v>377748.07468491048</v>
      </c>
      <c r="RI27" s="356">
        <f t="shared" si="128"/>
        <v>194167947.10915563</v>
      </c>
      <c r="RJ27" s="356">
        <f t="shared" si="128"/>
        <v>-1968389.0846907347</v>
      </c>
      <c r="RK27" s="356">
        <f t="shared" si="128"/>
        <v>192199558.02446488</v>
      </c>
      <c r="RL27" s="356">
        <f t="shared" si="128"/>
        <v>67398212.778005093</v>
      </c>
      <c r="RM27" s="356">
        <f t="shared" si="128"/>
        <v>259597770.80246997</v>
      </c>
      <c r="RN27" s="356">
        <f t="shared" si="128"/>
        <v>-9019326.4874949716</v>
      </c>
      <c r="RO27" s="356">
        <f t="shared" si="128"/>
        <v>250578444.31497499</v>
      </c>
      <c r="RP27" s="356"/>
      <c r="RQ27" s="356"/>
      <c r="RR27" s="356"/>
      <c r="RS27" s="356"/>
      <c r="RT27" s="345">
        <f>ROW()</f>
        <v>27</v>
      </c>
      <c r="RU27" s="341"/>
      <c r="RV27" s="241"/>
      <c r="RW27" s="366"/>
      <c r="RX27" s="366"/>
      <c r="RY27" s="366"/>
      <c r="RZ27" s="366"/>
      <c r="SA27" s="366"/>
      <c r="SB27" s="366"/>
      <c r="SC27" s="366"/>
      <c r="SD27" s="366"/>
      <c r="SE27" s="366"/>
      <c r="SF27" s="366"/>
      <c r="SG27" s="366"/>
      <c r="SH27" s="366"/>
      <c r="SI27" s="366"/>
      <c r="SJ27" s="366"/>
      <c r="SK27" s="366"/>
      <c r="SL27" s="336">
        <f>ROW()</f>
        <v>27</v>
      </c>
      <c r="SM27" s="329"/>
      <c r="SN27" s="338"/>
      <c r="SO27" s="341"/>
      <c r="SP27" s="341"/>
      <c r="SQ27" s="341"/>
      <c r="SR27" s="341"/>
      <c r="SS27" s="341"/>
      <c r="ST27" s="341"/>
      <c r="SU27" s="341"/>
      <c r="SV27" s="341"/>
      <c r="SW27" s="341"/>
      <c r="SX27" s="341"/>
      <c r="SY27" s="341"/>
      <c r="SZ27" s="341"/>
      <c r="TA27" s="341"/>
      <c r="TB27" s="581"/>
      <c r="TC27" s="581"/>
      <c r="TE27" s="336">
        <f>ROW()</f>
        <v>27</v>
      </c>
      <c r="TK27"/>
      <c r="TL27"/>
      <c r="TM27"/>
      <c r="TN27"/>
      <c r="TO27"/>
      <c r="TP27"/>
      <c r="TQ27"/>
      <c r="TR27"/>
      <c r="TS27"/>
      <c r="TT27"/>
      <c r="TU27"/>
      <c r="TV27"/>
      <c r="TW27"/>
      <c r="TX27" s="336">
        <f>ROW()</f>
        <v>27</v>
      </c>
      <c r="TY27" s="1" t="s">
        <v>1762</v>
      </c>
      <c r="UA27" s="121">
        <v>-357714</v>
      </c>
      <c r="UB27" s="121">
        <f t="shared" ref="UB27:UB33" si="129">-UA27</f>
        <v>357714</v>
      </c>
      <c r="UC27" s="121"/>
      <c r="UD27" s="121"/>
      <c r="UE27" s="121"/>
      <c r="UF27" s="121"/>
      <c r="UG27" s="121"/>
      <c r="UH27" s="121"/>
      <c r="UI27" s="121"/>
      <c r="UJ27" s="121"/>
      <c r="UK27" s="121"/>
      <c r="UL27" s="121"/>
      <c r="UM27" s="121"/>
      <c r="UN27" s="121"/>
      <c r="UO27" s="121"/>
      <c r="UQ27" s="345">
        <f>ROW()</f>
        <v>27</v>
      </c>
      <c r="UR27" s="117" t="s">
        <v>254</v>
      </c>
      <c r="UT27" s="836">
        <f>-UT24-UT26</f>
        <v>1275792.7171000002</v>
      </c>
      <c r="UU27" s="836">
        <f>-UU24-UU26</f>
        <v>-1275792.7171000002</v>
      </c>
      <c r="UV27" s="836">
        <f t="shared" ref="UV27:VD27" si="130">-UV24-UV26</f>
        <v>0</v>
      </c>
      <c r="UW27" s="836">
        <f t="shared" si="130"/>
        <v>0</v>
      </c>
      <c r="UX27" s="836">
        <f t="shared" si="130"/>
        <v>0</v>
      </c>
      <c r="UY27" s="836">
        <f t="shared" si="130"/>
        <v>0</v>
      </c>
      <c r="UZ27" s="836">
        <f t="shared" si="130"/>
        <v>0</v>
      </c>
      <c r="VA27" s="836">
        <f t="shared" si="130"/>
        <v>-1898572.9427632273</v>
      </c>
      <c r="VB27" s="836">
        <f t="shared" si="130"/>
        <v>-1898572.9427632273</v>
      </c>
      <c r="VC27" s="836">
        <f t="shared" si="130"/>
        <v>0</v>
      </c>
      <c r="VD27" s="836">
        <f t="shared" si="130"/>
        <v>-1898572.9427632273</v>
      </c>
      <c r="VJ27" s="345">
        <f>ROW()</f>
        <v>27</v>
      </c>
      <c r="VM27" s="1094"/>
      <c r="VN27" s="1094"/>
      <c r="VO27" s="1095"/>
      <c r="VP27" s="1094"/>
      <c r="VQ27" s="1095"/>
      <c r="VR27" s="1094"/>
      <c r="VS27" s="1095"/>
      <c r="VT27" s="1094"/>
      <c r="VU27" s="1094"/>
      <c r="VV27" s="1094"/>
      <c r="VW27" s="1094"/>
    </row>
    <row r="28" spans="1:610" ht="15" thickTop="1" x14ac:dyDescent="0.35">
      <c r="A28" s="111">
        <f>ROW()</f>
        <v>28</v>
      </c>
      <c r="B28" t="s">
        <v>993</v>
      </c>
      <c r="C28" s="1188" t="s">
        <v>1869</v>
      </c>
      <c r="D28" s="1192"/>
      <c r="E28" s="1192">
        <f>'GAS COS Revenues'!$D$34</f>
        <v>251691.05542156979</v>
      </c>
      <c r="F28" s="1189"/>
      <c r="G28" s="1193"/>
      <c r="H28" s="1189"/>
      <c r="I28" s="1193"/>
      <c r="J28" s="1191"/>
      <c r="K28" s="1193"/>
      <c r="L28" s="1193"/>
      <c r="M28" s="1193"/>
      <c r="N28" s="728"/>
      <c r="O28" s="189"/>
      <c r="P28" s="728"/>
      <c r="Q28" s="189"/>
      <c r="R28" s="728"/>
      <c r="S28" s="111">
        <f>ROW()</f>
        <v>28</v>
      </c>
      <c r="T28" s="238" t="s">
        <v>978</v>
      </c>
      <c r="V28" s="121">
        <f t="shared" si="5"/>
        <v>61857847.440000013</v>
      </c>
      <c r="W28" s="134">
        <f>'GAS COS Revenues'!$E$5</f>
        <v>-61857847.440000013</v>
      </c>
      <c r="X28" s="134"/>
      <c r="Y28" s="134"/>
      <c r="Z28" s="134">
        <f t="shared" si="6"/>
        <v>0</v>
      </c>
      <c r="AA28" s="134"/>
      <c r="AB28" s="134">
        <f t="shared" si="7"/>
        <v>0</v>
      </c>
      <c r="AC28" s="134"/>
      <c r="AD28" s="134">
        <f t="shared" si="8"/>
        <v>0</v>
      </c>
      <c r="AE28" s="134"/>
      <c r="AF28" s="134">
        <f t="shared" si="9"/>
        <v>0</v>
      </c>
      <c r="AG28" s="134"/>
      <c r="AH28" s="134"/>
      <c r="AI28" s="134"/>
      <c r="AJ28" s="134"/>
      <c r="AK28" s="111">
        <f>ROW()</f>
        <v>28</v>
      </c>
      <c r="AL28" s="112"/>
      <c r="AM28" s="134"/>
      <c r="AN28" s="121"/>
      <c r="AO28" s="121"/>
      <c r="AP28" s="121"/>
      <c r="AQ28" s="121"/>
      <c r="AR28" s="121"/>
      <c r="AS28" s="121"/>
      <c r="AT28" s="121"/>
      <c r="AU28" s="121"/>
      <c r="AV28" s="121"/>
      <c r="AW28" s="121"/>
      <c r="AX28" s="121"/>
      <c r="AY28" s="121"/>
      <c r="AZ28" s="121"/>
      <c r="BA28" s="121"/>
      <c r="BB28" s="121"/>
      <c r="BD28"/>
      <c r="BE28"/>
      <c r="BF28"/>
      <c r="BG28"/>
      <c r="BH28"/>
      <c r="BI28"/>
      <c r="BJ28"/>
      <c r="BK28"/>
      <c r="BL28"/>
      <c r="BM28"/>
      <c r="BN28"/>
      <c r="BO28"/>
      <c r="BP28"/>
      <c r="BQ28"/>
      <c r="BR28"/>
      <c r="BS28"/>
      <c r="BT28"/>
      <c r="BV28"/>
      <c r="BW28"/>
      <c r="BX28"/>
      <c r="BY28"/>
      <c r="BZ28"/>
      <c r="CA28"/>
      <c r="CB28"/>
      <c r="DE28" s="1"/>
      <c r="DF28" s="1"/>
      <c r="DG28" s="1"/>
      <c r="DH28" s="1"/>
      <c r="DI28" s="1"/>
      <c r="DJ28" s="1"/>
      <c r="DK28" s="1"/>
      <c r="DL28" s="1"/>
      <c r="EO28" s="1"/>
      <c r="EP28" s="1"/>
      <c r="EQ28" s="1"/>
      <c r="ER28" s="1"/>
      <c r="ES28" s="1"/>
      <c r="ET28" s="1"/>
      <c r="EU28" s="1"/>
      <c r="EV28" s="1"/>
      <c r="FX28" s="111"/>
      <c r="FY28" s="111">
        <f>ROW()</f>
        <v>28</v>
      </c>
      <c r="FZ28" s="112" t="s">
        <v>280</v>
      </c>
      <c r="GA28" s="112"/>
      <c r="GB28" s="134">
        <v>354065.82770115254</v>
      </c>
      <c r="GC28" s="134">
        <v>-113036.86452218764</v>
      </c>
      <c r="GD28" s="134">
        <f>SUM(GB28:GC28)</f>
        <v>241028.96317896491</v>
      </c>
      <c r="GE28" s="134">
        <v>18923.376664912594</v>
      </c>
      <c r="GF28" s="134">
        <f>SUM(GD28:GE28)</f>
        <v>259952.3398438775</v>
      </c>
      <c r="GG28" s="134">
        <v>8298.1201810878229</v>
      </c>
      <c r="GH28" s="134">
        <f>SUM(GF28:GG28)</f>
        <v>268250.46002496534</v>
      </c>
      <c r="GI28" s="134">
        <v>1968.4660262220461</v>
      </c>
      <c r="GJ28" s="134">
        <f>SUM(GH28:GI28)</f>
        <v>270218.92605118739</v>
      </c>
      <c r="GK28" s="134">
        <v>155.74030751886735</v>
      </c>
      <c r="GL28" s="134">
        <f>SUM(GJ28:GK28)</f>
        <v>270374.66635870625</v>
      </c>
      <c r="GM28" s="134"/>
      <c r="GN28" s="134"/>
      <c r="GO28" s="134"/>
      <c r="GP28" s="134"/>
      <c r="GQ28" s="111">
        <f>ROW()</f>
        <v>28</v>
      </c>
      <c r="GR28" s="187" t="s">
        <v>285</v>
      </c>
      <c r="GS28" s="202">
        <v>0.46577095547807479</v>
      </c>
      <c r="GT28" s="134">
        <f>+GT26*$GS$28</f>
        <v>3605749.2102098935</v>
      </c>
      <c r="GU28" s="175">
        <f>+GV28-GT28</f>
        <v>191286.54157686234</v>
      </c>
      <c r="GV28" s="134">
        <f>+GV26*$GS$28</f>
        <v>3797035.7517867559</v>
      </c>
      <c r="GW28" s="175">
        <f>+GX28-GV28</f>
        <v>0</v>
      </c>
      <c r="GX28" s="134">
        <f t="shared" ref="GX28:HD28" si="131">+GX26*$GS$28</f>
        <v>3797035.7517867559</v>
      </c>
      <c r="GY28" s="134">
        <f t="shared" si="131"/>
        <v>0</v>
      </c>
      <c r="GZ28" s="134">
        <f t="shared" si="131"/>
        <v>3797035.7517867559</v>
      </c>
      <c r="HA28" s="134">
        <f t="shared" si="131"/>
        <v>0</v>
      </c>
      <c r="HB28" s="134">
        <f t="shared" si="131"/>
        <v>3797035.7517867559</v>
      </c>
      <c r="HC28" s="134">
        <f t="shared" si="131"/>
        <v>0</v>
      </c>
      <c r="HD28" s="134">
        <f t="shared" si="131"/>
        <v>3797035.7517867559</v>
      </c>
      <c r="HE28" s="134">
        <f t="shared" ref="HE28:HH28" si="132">+HE26*$GS$28</f>
        <v>0</v>
      </c>
      <c r="HF28" s="134">
        <f t="shared" si="132"/>
        <v>0</v>
      </c>
      <c r="HG28" s="134">
        <f t="shared" si="132"/>
        <v>0</v>
      </c>
      <c r="HH28" s="134">
        <f t="shared" si="132"/>
        <v>0</v>
      </c>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4"/>
      <c r="IP28" s="114"/>
      <c r="IQ28" s="114"/>
      <c r="IR28" s="114"/>
      <c r="IS28"/>
      <c r="IT28"/>
      <c r="IU28"/>
      <c r="IV28"/>
      <c r="IW28"/>
      <c r="IX28"/>
      <c r="IY28"/>
      <c r="IZ28"/>
      <c r="JA28" s="114"/>
      <c r="JB28" s="114"/>
      <c r="JC28" s="114"/>
      <c r="JD28" s="114"/>
      <c r="JE28" s="114"/>
      <c r="JF28" s="114"/>
      <c r="JG28" s="114"/>
      <c r="JH28" s="114"/>
      <c r="JI28" s="114"/>
      <c r="JJ28" s="114"/>
      <c r="JK28"/>
      <c r="JL28"/>
      <c r="JM28"/>
      <c r="JN28"/>
      <c r="JO28"/>
      <c r="JP28"/>
      <c r="JQ28"/>
      <c r="JR28"/>
      <c r="JS28"/>
      <c r="JT28"/>
      <c r="JU28"/>
      <c r="JV28"/>
      <c r="JW28"/>
      <c r="JX28"/>
      <c r="JY28"/>
      <c r="JZ28"/>
      <c r="KA28"/>
      <c r="KB28"/>
      <c r="KC28" s="111"/>
      <c r="KU28" s="111">
        <f>ROW()</f>
        <v>28</v>
      </c>
      <c r="KV28" s="249" t="s">
        <v>281</v>
      </c>
      <c r="KW28" s="232"/>
      <c r="KX28" s="134">
        <v>4192011.2666414767</v>
      </c>
      <c r="KY28" s="134">
        <v>161103.54499382243</v>
      </c>
      <c r="KZ28" s="197">
        <f>SUM(KX28:KY28)</f>
        <v>4353114.8116352987</v>
      </c>
      <c r="LA28" s="134">
        <v>0</v>
      </c>
      <c r="LB28" s="197">
        <f>SUM(KZ28:LA28)</f>
        <v>4353114.8116352987</v>
      </c>
      <c r="LC28" s="134">
        <v>0</v>
      </c>
      <c r="LD28" s="197">
        <f>SUM(LB28:LC28)</f>
        <v>4353114.8116352987</v>
      </c>
      <c r="LE28" s="134">
        <v>0</v>
      </c>
      <c r="LF28" s="197">
        <f>SUM(LD28:LE28)</f>
        <v>4353114.8116352987</v>
      </c>
      <c r="LG28" s="134">
        <v>0</v>
      </c>
      <c r="LH28" s="197">
        <f>SUM(LF28:LG28)</f>
        <v>4353114.8116352987</v>
      </c>
      <c r="LI28" s="134">
        <v>0</v>
      </c>
      <c r="LJ28" s="197"/>
      <c r="LK28" s="134">
        <v>0</v>
      </c>
      <c r="LL28" s="197">
        <f>SUM(LJ28:LK28)</f>
        <v>0</v>
      </c>
      <c r="LM28" s="111"/>
      <c r="LP28" s="329"/>
      <c r="LR28" s="329"/>
      <c r="LS28" s="329"/>
      <c r="LT28" s="329"/>
      <c r="LU28" s="329"/>
      <c r="LV28" s="329"/>
      <c r="LW28" s="329"/>
      <c r="LX28" s="329"/>
      <c r="LY28" s="329"/>
      <c r="LZ28" s="329"/>
      <c r="MA28" s="329"/>
      <c r="MB28" s="329"/>
      <c r="MC28" s="329"/>
      <c r="MD28" s="329"/>
      <c r="ME28" s="111">
        <f>ROW()</f>
        <v>28</v>
      </c>
      <c r="MH28"/>
      <c r="MI28" s="121"/>
      <c r="MJ28" s="121"/>
      <c r="MK28" s="121"/>
      <c r="ML28" s="121"/>
      <c r="MM28" s="121"/>
      <c r="MN28" s="121"/>
      <c r="MO28" s="121"/>
      <c r="MP28" s="121"/>
      <c r="MQ28" s="121"/>
      <c r="MR28" s="121"/>
      <c r="MS28" s="121"/>
      <c r="MT28" s="121"/>
      <c r="MU28" s="121"/>
      <c r="MV28" s="121"/>
      <c r="MW28" s="111"/>
      <c r="NO28" s="111">
        <f>ROW()</f>
        <v>28</v>
      </c>
      <c r="NP28" s="277"/>
      <c r="OG28" s="111">
        <f>ROW()</f>
        <v>28</v>
      </c>
      <c r="OH28" s="168" t="s">
        <v>1427</v>
      </c>
      <c r="OI28" s="168"/>
      <c r="OJ28" s="178">
        <v>-2906116.24</v>
      </c>
      <c r="OK28" s="178">
        <f>OL28-OJ28</f>
        <v>0</v>
      </c>
      <c r="OL28" s="178">
        <v>-2906116.24</v>
      </c>
      <c r="OM28" s="178">
        <f>ON28-OL28</f>
        <v>2906116.24</v>
      </c>
      <c r="ON28" s="178">
        <v>0</v>
      </c>
      <c r="OO28" s="178"/>
      <c r="OP28" s="178"/>
      <c r="OQ28" s="178"/>
      <c r="OR28" s="178"/>
      <c r="OS28" s="178"/>
      <c r="OT28" s="178"/>
      <c r="OU28" s="380"/>
      <c r="OV28" s="380"/>
      <c r="OW28" s="380"/>
      <c r="OX28" s="380"/>
      <c r="OY28" s="111">
        <f>ROW()</f>
        <v>28</v>
      </c>
      <c r="OZ28" s="112" t="s">
        <v>80</v>
      </c>
      <c r="PA28" s="163"/>
      <c r="PB28" s="738"/>
      <c r="PC28" s="738"/>
      <c r="PD28" s="738"/>
      <c r="PE28" s="407"/>
      <c r="PF28" s="407"/>
      <c r="PG28" s="407"/>
      <c r="PH28" s="407"/>
      <c r="PI28" s="407"/>
      <c r="PJ28" s="770"/>
      <c r="PK28" s="407"/>
      <c r="PL28" s="770"/>
      <c r="PM28" s="606"/>
      <c r="PN28" s="606"/>
      <c r="PO28" s="738"/>
      <c r="PP28" s="738"/>
      <c r="PQ28"/>
      <c r="PR28"/>
      <c r="PS28"/>
      <c r="PT28"/>
      <c r="PU28"/>
      <c r="PV28"/>
      <c r="PW28"/>
      <c r="PX28"/>
      <c r="PY28"/>
      <c r="PZ28"/>
      <c r="QA28"/>
      <c r="QB28"/>
      <c r="QC28"/>
      <c r="QD28"/>
      <c r="QE28"/>
      <c r="QF28"/>
      <c r="QG28"/>
      <c r="QH28"/>
      <c r="RB28" s="336">
        <f>ROW()</f>
        <v>28</v>
      </c>
      <c r="RC28" s="329"/>
      <c r="RD28" s="329"/>
      <c r="RE28" s="341"/>
      <c r="RF28" s="341"/>
      <c r="RG28" s="356"/>
      <c r="RH28" s="356"/>
      <c r="RI28" s="356"/>
      <c r="RJ28" s="356"/>
      <c r="RK28" s="356"/>
      <c r="RL28" s="356"/>
      <c r="RM28" s="356"/>
      <c r="RN28" s="356"/>
      <c r="RO28" s="356"/>
      <c r="RP28" s="356"/>
      <c r="RQ28" s="356"/>
      <c r="RR28" s="356"/>
      <c r="RS28" s="356"/>
      <c r="RT28" s="345">
        <f>ROW()</f>
        <v>28</v>
      </c>
      <c r="RU28" s="341" t="s">
        <v>230</v>
      </c>
      <c r="RV28" s="320">
        <v>0.21</v>
      </c>
      <c r="RW28" s="367"/>
      <c r="RX28" s="367"/>
      <c r="RY28" s="367">
        <f t="shared" ref="RY28:SG28" si="133">RY26*-$RV$28</f>
        <v>0</v>
      </c>
      <c r="RZ28" s="367">
        <f t="shared" si="133"/>
        <v>8952.7368000000006</v>
      </c>
      <c r="SA28" s="367">
        <f t="shared" si="133"/>
        <v>8952.7368000000006</v>
      </c>
      <c r="SB28" s="367">
        <f t="shared" si="133"/>
        <v>53476.13459999999</v>
      </c>
      <c r="SC28" s="367">
        <f t="shared" si="133"/>
        <v>62428.871399999989</v>
      </c>
      <c r="SD28" s="367">
        <f t="shared" si="133"/>
        <v>132141.61590000024</v>
      </c>
      <c r="SE28" s="367">
        <f t="shared" si="133"/>
        <v>194570.48730000021</v>
      </c>
      <c r="SF28" s="367">
        <f t="shared" si="133"/>
        <v>132141.61590000024</v>
      </c>
      <c r="SG28" s="367">
        <f t="shared" si="133"/>
        <v>326712.10320000048</v>
      </c>
      <c r="SH28" s="367"/>
      <c r="SI28" s="367"/>
      <c r="SJ28" s="367"/>
      <c r="SK28" s="367"/>
      <c r="SL28" s="336">
        <f>ROW()</f>
        <v>28</v>
      </c>
      <c r="SM28" s="329" t="s">
        <v>898</v>
      </c>
      <c r="SN28" s="338"/>
      <c r="SO28" s="362"/>
      <c r="SP28" s="362"/>
      <c r="SQ28" s="362"/>
      <c r="SR28" s="362">
        <v>64907450.781774998</v>
      </c>
      <c r="SS28" s="362">
        <f t="shared" ref="SS28:SS30" si="134">SR28</f>
        <v>64907450.781774998</v>
      </c>
      <c r="ST28" s="362">
        <v>135484651.20414501</v>
      </c>
      <c r="SU28" s="362">
        <f t="shared" ref="SU28:SU30" si="135">ST28+SS28</f>
        <v>200392101.98592001</v>
      </c>
      <c r="SV28" s="362">
        <v>61776287.73843497</v>
      </c>
      <c r="SW28" s="362">
        <f t="shared" ref="SW28:SW30" si="136">SV28+SU28</f>
        <v>262168389.72435498</v>
      </c>
      <c r="SX28" s="362">
        <v>148518084.85406506</v>
      </c>
      <c r="SY28" s="362">
        <f t="shared" ref="SY28:SY30" si="137">SX28+SW28</f>
        <v>410686474.57842004</v>
      </c>
      <c r="SZ28" s="362"/>
      <c r="TA28" s="362"/>
      <c r="TB28" s="576"/>
      <c r="TC28" s="576"/>
      <c r="TE28" s="336">
        <f>ROW()</f>
        <v>28</v>
      </c>
      <c r="TK28"/>
      <c r="TL28"/>
      <c r="TM28"/>
      <c r="TN28"/>
      <c r="TO28"/>
      <c r="TP28"/>
      <c r="TQ28"/>
      <c r="TR28"/>
      <c r="TS28"/>
      <c r="TT28"/>
      <c r="TU28"/>
      <c r="TV28"/>
      <c r="TW28"/>
      <c r="TX28" s="336">
        <f>ROW()</f>
        <v>28</v>
      </c>
      <c r="UA28" s="121"/>
      <c r="UB28" s="121"/>
      <c r="UC28" s="121"/>
      <c r="UD28" s="121"/>
      <c r="UE28" s="121"/>
      <c r="UF28" s="121"/>
      <c r="UG28" s="121"/>
      <c r="UH28" s="121"/>
      <c r="UI28" s="121"/>
      <c r="UJ28" s="121"/>
      <c r="UK28" s="121"/>
      <c r="UL28" s="121"/>
      <c r="UM28" s="121"/>
      <c r="UN28" s="121"/>
      <c r="UO28" s="121"/>
      <c r="UQ28" s="345">
        <f>ROW()</f>
        <v>28</v>
      </c>
      <c r="VJ28" s="345">
        <f>ROW()</f>
        <v>28</v>
      </c>
      <c r="VM28" s="366"/>
      <c r="VN28" s="366"/>
      <c r="VO28" s="118"/>
      <c r="VP28" s="366"/>
      <c r="VQ28" s="118"/>
      <c r="VR28" s="366"/>
      <c r="VS28" s="118"/>
      <c r="VT28" s="366"/>
      <c r="VU28" s="366"/>
      <c r="VV28" s="366"/>
      <c r="VW28" s="366"/>
    </row>
    <row r="29" spans="1:610" ht="15" thickBot="1" x14ac:dyDescent="0.4">
      <c r="A29" s="111">
        <f>ROW()</f>
        <v>29</v>
      </c>
      <c r="B29" t="s">
        <v>1463</v>
      </c>
      <c r="C29" s="1188" t="s">
        <v>1869</v>
      </c>
      <c r="D29" s="1192"/>
      <c r="E29" s="1192"/>
      <c r="F29" s="1189"/>
      <c r="G29" s="1193">
        <f>'GAS COS Revenues'!$D$51</f>
        <v>-2964723.5896382895</v>
      </c>
      <c r="H29" s="1189"/>
      <c r="I29" s="1193"/>
      <c r="J29" s="1191"/>
      <c r="K29" s="1193"/>
      <c r="L29" s="1193"/>
      <c r="M29" s="1193"/>
      <c r="N29" s="728"/>
      <c r="O29" s="189"/>
      <c r="P29" s="728"/>
      <c r="Q29" s="189"/>
      <c r="R29" s="728"/>
      <c r="S29" s="111">
        <f>ROW()</f>
        <v>29</v>
      </c>
      <c r="T29" s="238" t="s">
        <v>1470</v>
      </c>
      <c r="U29" s="239"/>
      <c r="V29" s="121">
        <f>-W29</f>
        <v>0</v>
      </c>
      <c r="W29" s="134"/>
      <c r="X29" s="134"/>
      <c r="Y29" s="134"/>
      <c r="Z29" s="134">
        <f t="shared" si="6"/>
        <v>0</v>
      </c>
      <c r="AA29" s="134"/>
      <c r="AB29" s="134">
        <f t="shared" si="7"/>
        <v>0</v>
      </c>
      <c r="AC29" s="134"/>
      <c r="AD29" s="134">
        <f t="shared" si="8"/>
        <v>0</v>
      </c>
      <c r="AE29" s="134"/>
      <c r="AF29" s="134">
        <f t="shared" si="9"/>
        <v>0</v>
      </c>
      <c r="AG29" s="134"/>
      <c r="AH29" s="134"/>
      <c r="AI29" s="134"/>
      <c r="AJ29" s="134"/>
      <c r="AK29" s="111">
        <f>ROW()</f>
        <v>29</v>
      </c>
      <c r="AL29" s="112" t="s">
        <v>239</v>
      </c>
      <c r="AM29" s="188">
        <v>0.21</v>
      </c>
      <c r="AN29" s="121">
        <f>AN27*AM$29</f>
        <v>1525437.3313825051</v>
      </c>
      <c r="AO29" s="121">
        <f>AO$27*AM$29</f>
        <v>-18163.3543674227</v>
      </c>
      <c r="AP29" s="121">
        <f>AP27*AM$29</f>
        <v>1507273.9770150825</v>
      </c>
      <c r="AQ29" s="121">
        <f>AQ$27*AM$29</f>
        <v>-4702594.186002017</v>
      </c>
      <c r="AR29" s="121">
        <f>AR27*AM29</f>
        <v>16259582.963901898</v>
      </c>
      <c r="AS29" s="121"/>
      <c r="AT29" s="121"/>
      <c r="AU29" s="121"/>
      <c r="AV29" s="121"/>
      <c r="AW29" s="121"/>
      <c r="AX29" s="121"/>
      <c r="AY29" s="121"/>
      <c r="AZ29" s="121"/>
      <c r="BA29" s="121"/>
      <c r="BB29" s="121"/>
      <c r="BD29"/>
      <c r="BE29"/>
      <c r="BF29"/>
      <c r="BG29"/>
      <c r="BH29"/>
      <c r="BI29"/>
      <c r="BJ29"/>
      <c r="BK29"/>
      <c r="BL29"/>
      <c r="BM29"/>
      <c r="BN29"/>
      <c r="BO29"/>
      <c r="BP29"/>
      <c r="BQ29"/>
      <c r="BR29"/>
      <c r="BS29"/>
      <c r="BT29"/>
      <c r="BV29"/>
      <c r="BW29"/>
      <c r="BX29"/>
      <c r="BY29"/>
      <c r="BZ29"/>
      <c r="CA29"/>
      <c r="CB29"/>
      <c r="DE29" s="1"/>
      <c r="DF29" s="1"/>
      <c r="DG29" s="1"/>
      <c r="DH29" s="1"/>
      <c r="DI29" s="1"/>
      <c r="DJ29" s="1"/>
      <c r="DK29" s="1"/>
      <c r="DL29" s="1"/>
      <c r="FY29" s="111">
        <f>ROW()</f>
        <v>29</v>
      </c>
      <c r="FZ29" s="112" t="s">
        <v>283</v>
      </c>
      <c r="GA29" s="112"/>
      <c r="GB29" s="360">
        <f t="shared" ref="GB29:GL29" si="138">SUM(GB26:GB28)</f>
        <v>4382118.4750407711</v>
      </c>
      <c r="GC29" s="360">
        <f t="shared" si="138"/>
        <v>-1399008.0194958809</v>
      </c>
      <c r="GD29" s="360">
        <f t="shared" si="138"/>
        <v>2983110.4555448899</v>
      </c>
      <c r="GE29" s="360">
        <f t="shared" si="138"/>
        <v>234206.38764230272</v>
      </c>
      <c r="GF29" s="360">
        <f t="shared" si="138"/>
        <v>3217316.8431871929</v>
      </c>
      <c r="GG29" s="360">
        <f t="shared" si="138"/>
        <v>102702.21780438501</v>
      </c>
      <c r="GH29" s="360">
        <f t="shared" si="138"/>
        <v>3320019.0609915783</v>
      </c>
      <c r="GI29" s="360">
        <f t="shared" si="138"/>
        <v>24362.84630178571</v>
      </c>
      <c r="GJ29" s="360">
        <f t="shared" si="138"/>
        <v>3344381.9072933635</v>
      </c>
      <c r="GK29" s="360">
        <f t="shared" si="138"/>
        <v>1927.5299266186096</v>
      </c>
      <c r="GL29" s="360">
        <f t="shared" si="138"/>
        <v>3346309.4372199825</v>
      </c>
      <c r="GM29" s="360"/>
      <c r="GN29" s="360"/>
      <c r="GO29" s="360"/>
      <c r="GP29" s="360"/>
      <c r="GQ29" s="111">
        <f>ROW()</f>
        <v>29</v>
      </c>
      <c r="GR29" s="201"/>
      <c r="GS29" s="186"/>
      <c r="GT29" s="414"/>
      <c r="GU29" s="414"/>
      <c r="GV29" s="414"/>
      <c r="GW29" s="414"/>
      <c r="GX29" s="414"/>
      <c r="GY29" s="414"/>
      <c r="GZ29" s="414"/>
      <c r="HA29" s="414"/>
      <c r="HB29" s="414"/>
      <c r="HC29" s="414"/>
      <c r="HD29" s="414"/>
      <c r="HE29" s="414"/>
      <c r="HF29" s="414"/>
      <c r="HG29" s="414"/>
      <c r="HH29" s="414"/>
      <c r="HI29" s="134"/>
      <c r="HJ29" s="134"/>
      <c r="HK29" s="134"/>
      <c r="HL29" s="134"/>
      <c r="HM29" s="134"/>
      <c r="HN29" s="134"/>
      <c r="HO29" s="134"/>
      <c r="HP29" s="134"/>
      <c r="HQ29" s="134"/>
      <c r="HR29" s="134"/>
      <c r="HS29" s="134"/>
      <c r="HT29" s="134"/>
      <c r="HU29" s="134"/>
      <c r="HV29" s="134"/>
      <c r="HW29" s="134"/>
      <c r="HX29" s="134"/>
      <c r="HY29" s="134"/>
      <c r="HZ29" s="134"/>
      <c r="IA29" s="134"/>
      <c r="IB29" s="134"/>
      <c r="IC29" s="134"/>
      <c r="ID29" s="134"/>
      <c r="IE29" s="134"/>
      <c r="IF29" s="134"/>
      <c r="IG29" s="134"/>
      <c r="IH29" s="134"/>
      <c r="II29" s="134"/>
      <c r="IJ29" s="134"/>
      <c r="IK29" s="134"/>
      <c r="IL29" s="134"/>
      <c r="IM29" s="134"/>
      <c r="IN29" s="134"/>
      <c r="IO29" s="134"/>
      <c r="IP29" s="134"/>
      <c r="IQ29" s="134"/>
      <c r="IR29" s="134"/>
      <c r="IS29"/>
      <c r="IT29"/>
      <c r="IU29"/>
      <c r="IV29"/>
      <c r="IW29"/>
      <c r="IX29"/>
      <c r="IY29"/>
      <c r="IZ29"/>
      <c r="JA29" s="134"/>
      <c r="JB29" s="134"/>
      <c r="JC29" s="134"/>
      <c r="JD29" s="134"/>
      <c r="JE29" s="134"/>
      <c r="JF29" s="134"/>
      <c r="JG29" s="134"/>
      <c r="JH29" s="134"/>
      <c r="JI29" s="134"/>
      <c r="JJ29" s="134"/>
      <c r="JK29"/>
      <c r="JL29"/>
      <c r="JM29"/>
      <c r="JN29"/>
      <c r="JO29"/>
      <c r="JP29"/>
      <c r="JQ29"/>
      <c r="JR29"/>
      <c r="JS29"/>
      <c r="JT29"/>
      <c r="JU29"/>
      <c r="JV29"/>
      <c r="JW29"/>
      <c r="JX29"/>
      <c r="JY29"/>
      <c r="JZ29"/>
      <c r="KA29"/>
      <c r="KB29"/>
      <c r="KU29" s="111">
        <f>ROW()</f>
        <v>29</v>
      </c>
      <c r="KV29" s="232" t="s">
        <v>284</v>
      </c>
      <c r="KW29" s="585"/>
      <c r="KX29" s="372">
        <f t="shared" ref="KX29:LI29" si="139">SUM(KX26:KX28)</f>
        <v>62406260.05666092</v>
      </c>
      <c r="KY29" s="372">
        <f t="shared" si="139"/>
        <v>3702322.6934609008</v>
      </c>
      <c r="KZ29" s="372">
        <f t="shared" si="139"/>
        <v>66108582.750121817</v>
      </c>
      <c r="LA29" s="372">
        <f t="shared" ref="LA29:LC29" si="140">SUM(LA26:LA28)</f>
        <v>0</v>
      </c>
      <c r="LB29" s="372">
        <f t="shared" si="139"/>
        <v>66108582.750121817</v>
      </c>
      <c r="LC29" s="372">
        <f t="shared" si="140"/>
        <v>0</v>
      </c>
      <c r="LD29" s="372">
        <f t="shared" si="139"/>
        <v>66108582.750121817</v>
      </c>
      <c r="LE29" s="372">
        <f t="shared" si="139"/>
        <v>0</v>
      </c>
      <c r="LF29" s="372">
        <f t="shared" si="139"/>
        <v>66108582.750121817</v>
      </c>
      <c r="LG29" s="372">
        <f t="shared" si="139"/>
        <v>0</v>
      </c>
      <c r="LH29" s="372">
        <f t="shared" si="139"/>
        <v>66108582.750121817</v>
      </c>
      <c r="LI29" s="372">
        <f t="shared" si="139"/>
        <v>0</v>
      </c>
      <c r="LJ29" s="372">
        <f t="shared" ref="LJ29" si="141">SUM(LJ26:LJ28)</f>
        <v>0</v>
      </c>
      <c r="LK29" s="372">
        <f t="shared" ref="LK29:LL29" si="142">SUM(LK26:LK28)</f>
        <v>0</v>
      </c>
      <c r="LL29" s="372">
        <f t="shared" si="142"/>
        <v>0</v>
      </c>
      <c r="LM29" s="111"/>
      <c r="LP29" s="329"/>
      <c r="LR29" s="329"/>
      <c r="LS29" s="329"/>
      <c r="LT29" s="329"/>
      <c r="LU29" s="329"/>
      <c r="LV29" s="329"/>
      <c r="LW29" s="329"/>
      <c r="LX29" s="329"/>
      <c r="LY29" s="329"/>
      <c r="LZ29" s="329"/>
      <c r="MA29" s="329"/>
      <c r="MB29" s="329"/>
      <c r="MC29" s="329"/>
      <c r="MD29" s="329"/>
      <c r="ME29" s="111">
        <f>ROW()</f>
        <v>29</v>
      </c>
      <c r="MF29" s="117" t="s">
        <v>230</v>
      </c>
      <c r="MG29" s="135">
        <v>0.21</v>
      </c>
      <c r="MH29" s="121">
        <f t="shared" ref="MH29:MR29" si="143">-MH27*$MG$29</f>
        <v>-40779323.936791621</v>
      </c>
      <c r="MI29" s="121">
        <f t="shared" si="143"/>
        <v>-1814067.8939472267</v>
      </c>
      <c r="MJ29" s="121">
        <f t="shared" si="143"/>
        <v>-42593391.830738842</v>
      </c>
      <c r="MK29" s="121">
        <f t="shared" si="143"/>
        <v>0</v>
      </c>
      <c r="ML29" s="121">
        <f t="shared" si="143"/>
        <v>-42593391.830738842</v>
      </c>
      <c r="MM29" s="121">
        <f t="shared" si="143"/>
        <v>0</v>
      </c>
      <c r="MN29" s="121">
        <f t="shared" si="143"/>
        <v>-42593391.830738842</v>
      </c>
      <c r="MO29" s="121">
        <f t="shared" si="143"/>
        <v>0</v>
      </c>
      <c r="MP29" s="121">
        <f t="shared" si="143"/>
        <v>-42593391.830738842</v>
      </c>
      <c r="MQ29" s="121">
        <f t="shared" si="143"/>
        <v>0</v>
      </c>
      <c r="MR29" s="121">
        <f t="shared" si="143"/>
        <v>-42593391.830738842</v>
      </c>
      <c r="MS29" s="121"/>
      <c r="MT29" s="121"/>
      <c r="MU29" s="121"/>
      <c r="MV29" s="121"/>
      <c r="MW29" s="111"/>
      <c r="NO29" s="111">
        <f>ROW()</f>
        <v>29</v>
      </c>
      <c r="NP29" s="277" t="s">
        <v>831</v>
      </c>
      <c r="NQ29" s="202"/>
      <c r="NR29" s="118">
        <f t="shared" ref="NR29:OA29" si="144">-NR26</f>
        <v>0</v>
      </c>
      <c r="NS29" s="118">
        <f t="shared" si="144"/>
        <v>0</v>
      </c>
      <c r="NT29" s="118">
        <f t="shared" si="144"/>
        <v>0</v>
      </c>
      <c r="NU29" s="118">
        <f t="shared" si="144"/>
        <v>0</v>
      </c>
      <c r="NV29" s="118">
        <f t="shared" si="144"/>
        <v>0</v>
      </c>
      <c r="NW29" s="118">
        <f t="shared" si="144"/>
        <v>0</v>
      </c>
      <c r="NX29" s="118">
        <f t="shared" si="144"/>
        <v>-198562522.12014264</v>
      </c>
      <c r="NY29" s="118">
        <f t="shared" si="144"/>
        <v>-4179744.9499088684</v>
      </c>
      <c r="NZ29" s="118">
        <f>-NZ26</f>
        <v>-202742267.07005149</v>
      </c>
      <c r="OA29" s="118">
        <f t="shared" si="144"/>
        <v>-7712671.4379226714</v>
      </c>
      <c r="OB29" s="118">
        <f t="shared" ref="OB29" si="145">-OB26</f>
        <v>-210454938.50797415</v>
      </c>
      <c r="OC29" s="118"/>
      <c r="OD29" s="118"/>
      <c r="OE29" s="118"/>
      <c r="OF29" s="118"/>
      <c r="OG29" s="111">
        <f>ROW()</f>
        <v>29</v>
      </c>
      <c r="OH29" s="121" t="s">
        <v>80</v>
      </c>
      <c r="OI29" s="121"/>
      <c r="OJ29" s="134"/>
      <c r="OK29" s="134"/>
      <c r="OL29" s="134"/>
      <c r="OM29" s="134"/>
      <c r="ON29" s="134"/>
      <c r="OO29" s="134"/>
      <c r="OP29" s="134"/>
      <c r="OQ29" s="134"/>
      <c r="OR29" s="134"/>
      <c r="OS29" s="134"/>
      <c r="OT29" s="134"/>
      <c r="OU29" s="382"/>
      <c r="OV29" s="382"/>
      <c r="OW29" s="382"/>
      <c r="OX29" s="382"/>
      <c r="OY29" s="111">
        <f>ROW()</f>
        <v>29</v>
      </c>
      <c r="OZ29" s="112" t="s">
        <v>833</v>
      </c>
      <c r="PA29" s="163"/>
      <c r="PB29"/>
      <c r="PC29"/>
      <c r="PD29"/>
      <c r="PE29" s="405"/>
      <c r="PF29" s="405"/>
      <c r="PG29" s="405"/>
      <c r="PH29" s="405"/>
      <c r="PI29" s="405"/>
      <c r="PJ29" s="267"/>
      <c r="PK29" s="405"/>
      <c r="PL29" s="267"/>
      <c r="PM29" s="603"/>
      <c r="PN29" s="603"/>
      <c r="PO29"/>
      <c r="PP29"/>
      <c r="PQ29"/>
      <c r="PR29"/>
      <c r="PS29"/>
      <c r="PT29"/>
      <c r="PU29"/>
      <c r="PV29"/>
      <c r="PW29"/>
      <c r="PX29"/>
      <c r="PY29"/>
      <c r="PZ29"/>
      <c r="QA29"/>
      <c r="QB29"/>
      <c r="QC29"/>
      <c r="QD29"/>
      <c r="QE29"/>
      <c r="QF29"/>
      <c r="QG29"/>
      <c r="QH29"/>
      <c r="RB29" s="336">
        <f>ROW()</f>
        <v>29</v>
      </c>
      <c r="RC29" s="329" t="s">
        <v>230</v>
      </c>
      <c r="RD29" s="343">
        <v>0.21</v>
      </c>
      <c r="RE29" s="339"/>
      <c r="RF29" s="339"/>
      <c r="RG29" s="368">
        <f t="shared" ref="RG29:RO29" si="146">RG27*-$RD$29</f>
        <v>-40695941.797238849</v>
      </c>
      <c r="RH29" s="368">
        <f t="shared" si="146"/>
        <v>-79327.095683831198</v>
      </c>
      <c r="RI29" s="368">
        <f t="shared" si="146"/>
        <v>-40775268.892922677</v>
      </c>
      <c r="RJ29" s="368">
        <f t="shared" si="146"/>
        <v>413361.70778505428</v>
      </c>
      <c r="RK29" s="368">
        <f t="shared" si="146"/>
        <v>-40361907.185137622</v>
      </c>
      <c r="RL29" s="368">
        <f t="shared" si="146"/>
        <v>-14153624.683381069</v>
      </c>
      <c r="RM29" s="368">
        <f t="shared" si="146"/>
        <v>-54515531.868518688</v>
      </c>
      <c r="RN29" s="368">
        <f t="shared" si="146"/>
        <v>1894058.5623739439</v>
      </c>
      <c r="RO29" s="368">
        <f t="shared" si="146"/>
        <v>-52621473.306144744</v>
      </c>
      <c r="RP29" s="368"/>
      <c r="RQ29" s="368"/>
      <c r="RR29" s="368"/>
      <c r="RS29" s="368"/>
      <c r="RT29" s="345">
        <f>ROW()</f>
        <v>29</v>
      </c>
      <c r="RU29" s="341"/>
      <c r="RV29" s="241"/>
      <c r="RW29" s="369"/>
      <c r="RX29" s="369"/>
      <c r="RY29" s="369"/>
      <c r="RZ29" s="369"/>
      <c r="SA29" s="369"/>
      <c r="SB29" s="369"/>
      <c r="SC29" s="369"/>
      <c r="SD29" s="369"/>
      <c r="SE29" s="369"/>
      <c r="SF29" s="369"/>
      <c r="SG29" s="369"/>
      <c r="SH29" s="369"/>
      <c r="SI29" s="369"/>
      <c r="SJ29" s="369"/>
      <c r="SK29" s="369"/>
      <c r="SL29" s="336">
        <f>ROW()</f>
        <v>29</v>
      </c>
      <c r="SM29" s="329" t="s">
        <v>899</v>
      </c>
      <c r="SN29" s="338"/>
      <c r="SO29" s="356"/>
      <c r="SP29" s="356"/>
      <c r="SQ29" s="356"/>
      <c r="SR29" s="356">
        <v>-611271.05680999998</v>
      </c>
      <c r="SS29" s="356">
        <f t="shared" si="134"/>
        <v>-611271.05680999998</v>
      </c>
      <c r="ST29" s="356">
        <v>-7603494.9489650009</v>
      </c>
      <c r="SU29" s="356">
        <f t="shared" si="135"/>
        <v>-8214766.0057750009</v>
      </c>
      <c r="SV29" s="356">
        <v>-8504153.2246999964</v>
      </c>
      <c r="SW29" s="356">
        <f t="shared" si="136"/>
        <v>-16718919.230474997</v>
      </c>
      <c r="SX29" s="356">
        <v>-23582994.780954998</v>
      </c>
      <c r="SY29" s="356">
        <f t="shared" si="137"/>
        <v>-40301914.011429995</v>
      </c>
      <c r="SZ29" s="356"/>
      <c r="TA29" s="356"/>
      <c r="TB29" s="525"/>
      <c r="TC29" s="525"/>
      <c r="TE29" s="336">
        <f>ROW()</f>
        <v>29</v>
      </c>
      <c r="TK29"/>
      <c r="TL29"/>
      <c r="TM29"/>
      <c r="TN29"/>
      <c r="TO29"/>
      <c r="TP29"/>
      <c r="TQ29"/>
      <c r="TR29"/>
      <c r="TS29"/>
      <c r="TT29"/>
      <c r="TU29"/>
      <c r="TV29"/>
      <c r="TW29"/>
      <c r="TX29" s="336">
        <f>ROW()</f>
        <v>29</v>
      </c>
      <c r="TY29" s="1" t="s">
        <v>1763</v>
      </c>
      <c r="UA29" s="121">
        <v>-1797873.5130000003</v>
      </c>
      <c r="UB29" s="121">
        <f t="shared" si="129"/>
        <v>1797873.5130000003</v>
      </c>
      <c r="UC29" s="121"/>
      <c r="UD29" s="121"/>
      <c r="UE29" s="121"/>
      <c r="UF29" s="121"/>
      <c r="UG29" s="121"/>
      <c r="UH29" s="121"/>
      <c r="UI29" s="121"/>
      <c r="UJ29" s="121"/>
      <c r="UK29" s="121"/>
      <c r="UL29" s="121"/>
      <c r="UM29" s="121"/>
      <c r="UN29" s="121"/>
      <c r="UO29" s="121"/>
      <c r="VJ29" s="345">
        <f>ROW()</f>
        <v>29</v>
      </c>
      <c r="VK29" s="241"/>
      <c r="VM29" s="922"/>
      <c r="VN29" s="922"/>
      <c r="VO29" s="922"/>
      <c r="VP29" s="922"/>
      <c r="VQ29" s="922"/>
      <c r="VR29" s="922"/>
      <c r="VS29" s="922"/>
      <c r="VT29" s="922"/>
      <c r="VU29" s="922"/>
      <c r="VV29" s="922"/>
      <c r="VW29" s="922"/>
    </row>
    <row r="30" spans="1:610" ht="15.5" thickTop="1" thickBot="1" x14ac:dyDescent="0.4">
      <c r="A30" s="111">
        <f>ROW()</f>
        <v>30</v>
      </c>
      <c r="B30" t="s">
        <v>1464</v>
      </c>
      <c r="C30" s="1188" t="s">
        <v>1869</v>
      </c>
      <c r="D30" s="1192"/>
      <c r="E30" s="1192"/>
      <c r="F30" s="1189"/>
      <c r="G30" s="1193">
        <f>'GAS COS Revenues'!$D$52</f>
        <v>1560436.0505579826</v>
      </c>
      <c r="H30" s="1189"/>
      <c r="I30" s="1193"/>
      <c r="J30" s="1191"/>
      <c r="K30" s="1193"/>
      <c r="L30" s="1193"/>
      <c r="M30" s="1193"/>
      <c r="N30" s="728"/>
      <c r="O30" s="189"/>
      <c r="P30" s="728"/>
      <c r="Q30" s="189"/>
      <c r="R30" s="728"/>
      <c r="S30" s="111">
        <f>ROW()</f>
        <v>30</v>
      </c>
      <c r="T30" s="238" t="s">
        <v>1471</v>
      </c>
      <c r="U30" s="239"/>
      <c r="V30" s="121"/>
      <c r="X30" s="134"/>
      <c r="Y30" s="134"/>
      <c r="Z30" s="134"/>
      <c r="AA30" s="134"/>
      <c r="AB30" s="134"/>
      <c r="AC30" s="134"/>
      <c r="AD30" s="134"/>
      <c r="AE30" s="134"/>
      <c r="AF30" s="134"/>
      <c r="AG30" s="134"/>
      <c r="AH30" s="134"/>
      <c r="AI30" s="134"/>
      <c r="AJ30" s="134"/>
      <c r="AK30" s="111">
        <f>ROW()</f>
        <v>30</v>
      </c>
      <c r="AL30" s="112" t="s">
        <v>224</v>
      </c>
      <c r="AN30" s="384">
        <f>AN27-AN29</f>
        <v>5738549.9609151389</v>
      </c>
      <c r="AO30" s="384">
        <f>AO27-AO29</f>
        <v>-68328.809286971125</v>
      </c>
      <c r="AP30" s="384">
        <f>AP27-AP29</f>
        <v>5670221.1516281674</v>
      </c>
      <c r="AQ30" s="384">
        <f>AQ27-AQ29</f>
        <v>-17690711.461626638</v>
      </c>
      <c r="AR30" s="384">
        <f>AR27-AR29</f>
        <v>61167002.578488089</v>
      </c>
      <c r="AS30" s="384"/>
      <c r="AT30" s="384"/>
      <c r="AU30" s="384"/>
      <c r="AV30" s="384"/>
      <c r="AW30" s="384"/>
      <c r="AX30" s="384"/>
      <c r="AY30" s="384"/>
      <c r="AZ30" s="384"/>
      <c r="BA30" s="384"/>
      <c r="BB30" s="384"/>
      <c r="BD30"/>
      <c r="BE30"/>
      <c r="BF30"/>
      <c r="BG30"/>
      <c r="BH30"/>
      <c r="BI30"/>
      <c r="BJ30"/>
      <c r="BK30"/>
      <c r="BL30"/>
      <c r="BM30"/>
      <c r="BN30"/>
      <c r="BO30"/>
      <c r="BP30"/>
      <c r="BQ30"/>
      <c r="BR30"/>
      <c r="BS30"/>
      <c r="BT30"/>
      <c r="BV30"/>
      <c r="BW30"/>
      <c r="BX30"/>
      <c r="BY30"/>
      <c r="BZ30"/>
      <c r="CA30"/>
      <c r="CB30"/>
      <c r="DE30" s="1"/>
      <c r="DF30" s="1"/>
      <c r="DG30" s="1"/>
      <c r="DH30" s="1"/>
      <c r="DI30" s="1"/>
      <c r="DJ30" s="1"/>
      <c r="DK30" s="1"/>
      <c r="DL30" s="1"/>
      <c r="FY30" s="111">
        <f>ROW()</f>
        <v>30</v>
      </c>
      <c r="GB30" s="134"/>
      <c r="GC30" s="134">
        <f>+GD30-GB30</f>
        <v>0</v>
      </c>
      <c r="GD30" s="134">
        <v>0</v>
      </c>
      <c r="GE30" s="134">
        <f>+GF30-GD30</f>
        <v>0</v>
      </c>
      <c r="GF30" s="134">
        <v>0</v>
      </c>
      <c r="GG30" s="134">
        <f>+GH30-GF30</f>
        <v>0</v>
      </c>
      <c r="GH30" s="134">
        <v>0</v>
      </c>
      <c r="GI30" s="134">
        <f>+GJ30-GH30</f>
        <v>0</v>
      </c>
      <c r="GJ30" s="134">
        <v>0</v>
      </c>
      <c r="GK30" s="134">
        <f>+GL30-GJ30</f>
        <v>0</v>
      </c>
      <c r="GL30" s="134">
        <v>0</v>
      </c>
      <c r="GM30" s="134"/>
      <c r="GN30" s="134"/>
      <c r="GO30" s="134"/>
      <c r="GP30" s="134"/>
      <c r="GQ30" s="111">
        <f>ROW()</f>
        <v>30</v>
      </c>
      <c r="GR30" s="112" t="s">
        <v>223</v>
      </c>
      <c r="GS30" s="112"/>
      <c r="GT30" s="165">
        <f>SUM(GT28:GT29)</f>
        <v>3605749.2102098935</v>
      </c>
      <c r="GU30" s="165">
        <f>SUM(GU28:GU29)</f>
        <v>191286.54157686234</v>
      </c>
      <c r="GV30" s="165">
        <f>SUM(GV28:GV29)</f>
        <v>3797035.7517867559</v>
      </c>
      <c r="GW30" s="165">
        <f>SUM(GW28:GW29)</f>
        <v>0</v>
      </c>
      <c r="GX30" s="215">
        <f t="shared" ref="GX30:HD30" si="147">+GV30</f>
        <v>3797035.7517867559</v>
      </c>
      <c r="GY30" s="215">
        <f t="shared" si="147"/>
        <v>0</v>
      </c>
      <c r="GZ30" s="215">
        <f t="shared" si="147"/>
        <v>3797035.7517867559</v>
      </c>
      <c r="HA30" s="215">
        <f t="shared" si="147"/>
        <v>0</v>
      </c>
      <c r="HB30" s="215">
        <f t="shared" si="147"/>
        <v>3797035.7517867559</v>
      </c>
      <c r="HC30" s="215">
        <f t="shared" si="147"/>
        <v>0</v>
      </c>
      <c r="HD30" s="215">
        <f t="shared" si="147"/>
        <v>3797035.7517867559</v>
      </c>
      <c r="HE30" s="215"/>
      <c r="HF30" s="215"/>
      <c r="HG30" s="215"/>
      <c r="HH30" s="215"/>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c r="IT30"/>
      <c r="IU30"/>
      <c r="IV30"/>
      <c r="IW30"/>
      <c r="IX30"/>
      <c r="IY30"/>
      <c r="IZ30"/>
      <c r="JA30" s="121"/>
      <c r="JB30" s="121"/>
      <c r="JC30" s="121"/>
      <c r="JD30" s="121"/>
      <c r="JE30" s="121"/>
      <c r="JF30" s="121"/>
      <c r="JG30" s="121"/>
      <c r="JH30" s="121"/>
      <c r="JI30" s="121"/>
      <c r="JJ30" s="121"/>
      <c r="JK30"/>
      <c r="JL30"/>
      <c r="JM30"/>
      <c r="JN30"/>
      <c r="JO30"/>
      <c r="JP30"/>
      <c r="JQ30"/>
      <c r="JR30"/>
      <c r="JS30"/>
      <c r="JT30"/>
      <c r="JU30"/>
      <c r="JV30"/>
      <c r="JW30"/>
      <c r="JX30"/>
      <c r="JY30"/>
      <c r="JZ30"/>
      <c r="KA30"/>
      <c r="KB30"/>
      <c r="KU30" s="111">
        <f>ROW()</f>
        <v>30</v>
      </c>
      <c r="KV30" s="232"/>
      <c r="KW30" s="585"/>
      <c r="LD30" s="203"/>
      <c r="LF30" s="203"/>
      <c r="LH30" s="203"/>
      <c r="LJ30" s="203"/>
      <c r="LL30" s="203"/>
      <c r="LM30" s="111"/>
      <c r="LP30" s="329"/>
      <c r="LR30" s="329"/>
      <c r="LS30" s="329"/>
      <c r="LT30" s="329"/>
      <c r="LU30" s="329"/>
      <c r="LV30" s="329"/>
      <c r="LW30" s="329"/>
      <c r="LX30" s="329"/>
      <c r="LY30" s="329"/>
      <c r="LZ30" s="329"/>
      <c r="MA30" s="329"/>
      <c r="MB30" s="329"/>
      <c r="MC30" s="329"/>
      <c r="MD30" s="329"/>
      <c r="ME30" s="111">
        <f>ROW()</f>
        <v>30</v>
      </c>
      <c r="MH30" s="414"/>
      <c r="MI30" s="414"/>
      <c r="MJ30" s="414"/>
      <c r="MK30" s="414"/>
      <c r="ML30" s="414"/>
      <c r="MM30" s="414"/>
      <c r="MN30" s="414"/>
      <c r="MO30" s="414"/>
      <c r="MP30" s="414"/>
      <c r="MQ30" s="414"/>
      <c r="MR30" s="414"/>
      <c r="MS30" s="414"/>
      <c r="MT30" s="414"/>
      <c r="MU30" s="414"/>
      <c r="MV30" s="414"/>
      <c r="MW30" s="111"/>
      <c r="NO30" s="111">
        <f>ROW()</f>
        <v>30</v>
      </c>
      <c r="NP30" s="277" t="s">
        <v>239</v>
      </c>
      <c r="NQ30" s="278">
        <v>0.21</v>
      </c>
      <c r="NR30" s="366">
        <f t="shared" ref="NR30:OA30" si="148">NR29*$NQ$30</f>
        <v>0</v>
      </c>
      <c r="NS30" s="366">
        <f t="shared" si="148"/>
        <v>0</v>
      </c>
      <c r="NT30" s="366">
        <f t="shared" si="148"/>
        <v>0</v>
      </c>
      <c r="NU30" s="366">
        <f t="shared" si="148"/>
        <v>0</v>
      </c>
      <c r="NV30" s="366">
        <f t="shared" si="148"/>
        <v>0</v>
      </c>
      <c r="NW30" s="366">
        <f t="shared" si="148"/>
        <v>0</v>
      </c>
      <c r="NX30" s="366">
        <f t="shared" si="148"/>
        <v>-41698129.645229951</v>
      </c>
      <c r="NY30" s="366">
        <f t="shared" si="148"/>
        <v>-877746.43948086235</v>
      </c>
      <c r="NZ30" s="366">
        <f>NZ29*$NQ$30</f>
        <v>-42575876.084710814</v>
      </c>
      <c r="OA30" s="366">
        <f t="shared" si="148"/>
        <v>-1619661.0019637609</v>
      </c>
      <c r="OB30" s="366">
        <f t="shared" ref="OB30" si="149">OB29*$NQ$30</f>
        <v>-44195537.086674571</v>
      </c>
      <c r="OC30" s="366"/>
      <c r="OD30" s="366"/>
      <c r="OE30" s="366"/>
      <c r="OF30" s="366"/>
      <c r="OG30" s="111">
        <f>ROW()</f>
        <v>30</v>
      </c>
      <c r="OH30" s="114" t="s">
        <v>3</v>
      </c>
      <c r="OI30" s="114"/>
      <c r="OJ30" s="372">
        <f>OJ28</f>
        <v>-2906116.24</v>
      </c>
      <c r="OK30" s="372">
        <f t="shared" ref="OK30:ON30" si="150">OK28</f>
        <v>0</v>
      </c>
      <c r="OL30" s="372">
        <f t="shared" si="150"/>
        <v>-2906116.24</v>
      </c>
      <c r="OM30" s="372">
        <f t="shared" si="150"/>
        <v>2906116.24</v>
      </c>
      <c r="ON30" s="372">
        <f t="shared" si="150"/>
        <v>0</v>
      </c>
      <c r="OO30" s="372"/>
      <c r="OP30" s="372"/>
      <c r="OQ30" s="372"/>
      <c r="OR30" s="372"/>
      <c r="OS30" s="372"/>
      <c r="OT30" s="372"/>
      <c r="OU30" s="358"/>
      <c r="OV30" s="358"/>
      <c r="OW30" s="358"/>
      <c r="OX30" s="358"/>
      <c r="OY30" s="111">
        <f>ROW()</f>
        <v>30</v>
      </c>
      <c r="OZ30" s="163" t="s">
        <v>968</v>
      </c>
      <c r="PA30" s="163"/>
      <c r="PB30" s="121">
        <v>-10778377.35967225</v>
      </c>
      <c r="PC30" s="786">
        <v>6939709.4452638375</v>
      </c>
      <c r="PD30" s="121">
        <f t="shared" ref="PD30:PD31" si="151">SUM(PB30:PC30)</f>
        <v>-3838667.9144084128</v>
      </c>
      <c r="PE30" s="787">
        <v>-6939709.4452638375</v>
      </c>
      <c r="PF30" s="405">
        <f t="shared" ref="PF30:PF31" si="152">SUM(PD30:PE30)</f>
        <v>-10778377.35967225</v>
      </c>
      <c r="PG30" s="787">
        <v>0</v>
      </c>
      <c r="PH30" s="405">
        <f t="shared" ref="PH30:PH31" si="153">SUM(PF30:PG30)</f>
        <v>-10778377.35967225</v>
      </c>
      <c r="PI30" s="787">
        <v>0</v>
      </c>
      <c r="PJ30" s="419">
        <f t="shared" ref="PJ30:PJ31" si="154">SUM(PH30:PI30)</f>
        <v>-10778377.35967225</v>
      </c>
      <c r="PK30" s="787">
        <v>0</v>
      </c>
      <c r="PL30" s="419">
        <f t="shared" ref="PL30:PL31" si="155">SUM(PJ30:PK30)</f>
        <v>-10778377.35967225</v>
      </c>
      <c r="PM30" s="603"/>
      <c r="PN30" s="603"/>
      <c r="PO30" s="121"/>
      <c r="PP30" s="121"/>
      <c r="PQ30"/>
      <c r="PR30"/>
      <c r="PS30"/>
      <c r="PT30"/>
      <c r="PU30"/>
      <c r="PV30"/>
      <c r="PW30"/>
      <c r="PX30"/>
      <c r="PY30"/>
      <c r="PZ30"/>
      <c r="QA30"/>
      <c r="QB30"/>
      <c r="QC30"/>
      <c r="QD30"/>
      <c r="QE30"/>
      <c r="QF30"/>
      <c r="QG30"/>
      <c r="QH30"/>
      <c r="RB30" s="336">
        <f>ROW()</f>
        <v>30</v>
      </c>
      <c r="RC30" s="329"/>
      <c r="RD30" s="329"/>
      <c r="RE30" s="341"/>
      <c r="RF30" s="341"/>
      <c r="RG30" s="341"/>
      <c r="RH30" s="341"/>
      <c r="RI30" s="341"/>
      <c r="RJ30" s="341"/>
      <c r="RK30" s="341"/>
      <c r="RL30" s="341"/>
      <c r="RM30" s="341"/>
      <c r="RN30" s="341"/>
      <c r="RO30" s="341"/>
      <c r="RP30" s="341"/>
      <c r="RQ30" s="341"/>
      <c r="RR30" s="341"/>
      <c r="RS30" s="341"/>
      <c r="RT30" s="345">
        <f>ROW()</f>
        <v>30</v>
      </c>
      <c r="RU30" s="329" t="s">
        <v>224</v>
      </c>
      <c r="RV30" s="241"/>
      <c r="RW30" s="370"/>
      <c r="RX30" s="370"/>
      <c r="RY30" s="370">
        <f t="shared" ref="RY30:SG30" si="156">-RY26-RY28</f>
        <v>0</v>
      </c>
      <c r="RZ30" s="370">
        <f t="shared" si="156"/>
        <v>33679.343200000003</v>
      </c>
      <c r="SA30" s="370">
        <f t="shared" si="156"/>
        <v>33679.343200000003</v>
      </c>
      <c r="SB30" s="370">
        <f t="shared" si="156"/>
        <v>201172.12539999996</v>
      </c>
      <c r="SC30" s="370">
        <f t="shared" si="156"/>
        <v>234851.46859999996</v>
      </c>
      <c r="SD30" s="370">
        <f t="shared" si="156"/>
        <v>497104.17410000088</v>
      </c>
      <c r="SE30" s="370">
        <f t="shared" si="156"/>
        <v>731955.6427000009</v>
      </c>
      <c r="SF30" s="370">
        <f t="shared" si="156"/>
        <v>497104.17410000088</v>
      </c>
      <c r="SG30" s="370">
        <f t="shared" si="156"/>
        <v>1229059.8168000018</v>
      </c>
      <c r="SH30" s="370"/>
      <c r="SI30" s="370"/>
      <c r="SJ30" s="370"/>
      <c r="SK30" s="370"/>
      <c r="SL30" s="336">
        <f>ROW()</f>
        <v>30</v>
      </c>
      <c r="SM30" s="329" t="s">
        <v>900</v>
      </c>
      <c r="SN30" s="338"/>
      <c r="SO30" s="355"/>
      <c r="SP30" s="355"/>
      <c r="SQ30" s="355"/>
      <c r="SR30" s="355">
        <v>-499595.74821500003</v>
      </c>
      <c r="SS30" s="355">
        <f t="shared" si="134"/>
        <v>-499595.74821500003</v>
      </c>
      <c r="ST30" s="355">
        <v>-1403655.6096900003</v>
      </c>
      <c r="SU30" s="355">
        <f t="shared" si="135"/>
        <v>-1903251.3579050004</v>
      </c>
      <c r="SV30" s="355">
        <v>-1104684.0901149998</v>
      </c>
      <c r="SW30" s="355">
        <f t="shared" si="136"/>
        <v>-3007935.44802</v>
      </c>
      <c r="SX30" s="355">
        <v>-2527668.855455</v>
      </c>
      <c r="SY30" s="355">
        <f t="shared" si="137"/>
        <v>-5535604.303475</v>
      </c>
      <c r="SZ30" s="355"/>
      <c r="TA30" s="355"/>
      <c r="TB30" s="575"/>
      <c r="TC30" s="575"/>
      <c r="TE30" s="336">
        <f>ROW()</f>
        <v>30</v>
      </c>
      <c r="TK30"/>
      <c r="TL30"/>
      <c r="TM30"/>
      <c r="TN30"/>
      <c r="TO30"/>
      <c r="TP30"/>
      <c r="TQ30"/>
      <c r="TR30"/>
      <c r="TS30"/>
      <c r="TT30"/>
      <c r="TU30"/>
      <c r="TV30"/>
      <c r="TW30"/>
      <c r="TX30" s="336">
        <f>ROW()</f>
        <v>30</v>
      </c>
      <c r="UA30" s="121"/>
      <c r="UB30" s="121"/>
      <c r="UC30" s="121"/>
      <c r="UD30" s="121"/>
      <c r="UE30" s="121"/>
      <c r="UF30" s="121"/>
      <c r="UG30" s="121"/>
      <c r="UH30" s="121"/>
      <c r="UI30" s="121"/>
      <c r="UJ30" s="121"/>
      <c r="UK30" s="121"/>
      <c r="UL30" s="121"/>
      <c r="UM30" s="121"/>
      <c r="UN30" s="121"/>
      <c r="UO30" s="121"/>
      <c r="VJ30" s="345">
        <f>ROW()</f>
        <v>30</v>
      </c>
      <c r="VK30" s="241"/>
      <c r="VM30" s="134"/>
      <c r="VN30" s="134"/>
      <c r="VO30" s="134"/>
      <c r="VP30" s="134"/>
      <c r="VQ30" s="134"/>
      <c r="VR30" s="134"/>
      <c r="VS30" s="134"/>
      <c r="VT30" s="134"/>
      <c r="VU30" s="134"/>
      <c r="VV30" s="134"/>
      <c r="VW30" s="134"/>
    </row>
    <row r="31" spans="1:610" ht="15.5" thickTop="1" thickBot="1" x14ac:dyDescent="0.4">
      <c r="A31" s="111">
        <f>ROW()</f>
        <v>31</v>
      </c>
      <c r="B31" t="s">
        <v>1465</v>
      </c>
      <c r="C31" s="1188" t="s">
        <v>1869</v>
      </c>
      <c r="D31" s="1192"/>
      <c r="E31" s="1192"/>
      <c r="F31" s="1189"/>
      <c r="G31" s="1193">
        <f>'GAS COS Revenues'!$D$53</f>
        <v>-44651001.892138109</v>
      </c>
      <c r="H31" s="1189"/>
      <c r="I31" s="1193"/>
      <c r="J31" s="1191"/>
      <c r="K31" s="1193"/>
      <c r="L31" s="1193"/>
      <c r="M31" s="1193"/>
      <c r="N31" s="728"/>
      <c r="O31" s="189"/>
      <c r="P31" s="728"/>
      <c r="Q31" s="189"/>
      <c r="R31" s="728"/>
      <c r="S31" s="111">
        <f>ROW()</f>
        <v>31</v>
      </c>
      <c r="T31" s="238" t="s">
        <v>991</v>
      </c>
      <c r="U31" s="239"/>
      <c r="V31" s="121">
        <f t="shared" ref="V31" si="157">-W31</f>
        <v>0</v>
      </c>
      <c r="W31" s="134">
        <f>'GAS COS Revenues'!$E$16</f>
        <v>0</v>
      </c>
      <c r="X31" s="134"/>
      <c r="Y31" s="134"/>
      <c r="Z31" s="134"/>
      <c r="AA31" s="134"/>
      <c r="AB31" s="134"/>
      <c r="AC31" s="134"/>
      <c r="AD31" s="134"/>
      <c r="AE31" s="134"/>
      <c r="AF31" s="134"/>
      <c r="AG31" s="134"/>
      <c r="AH31" s="134"/>
      <c r="AI31" s="134"/>
      <c r="AJ31" s="134"/>
      <c r="AK31" s="111">
        <f>ROW()</f>
        <v>31</v>
      </c>
      <c r="AN31" s="121"/>
      <c r="AO31" s="121"/>
      <c r="AP31" s="121"/>
      <c r="AQ31" s="121"/>
      <c r="AR31" s="121"/>
      <c r="AS31" s="121"/>
      <c r="AT31" s="121"/>
      <c r="AU31" s="121"/>
      <c r="AV31" s="121"/>
      <c r="AW31" s="121"/>
      <c r="AX31" s="121"/>
      <c r="AY31" s="121"/>
      <c r="AZ31" s="121"/>
      <c r="BA31" s="121"/>
      <c r="BB31" s="121"/>
      <c r="BD31"/>
      <c r="BE31"/>
      <c r="BF31"/>
      <c r="BG31"/>
      <c r="BH31"/>
      <c r="BI31"/>
      <c r="BJ31"/>
      <c r="BK31"/>
      <c r="BL31"/>
      <c r="BM31"/>
      <c r="BN31"/>
      <c r="BO31"/>
      <c r="BP31"/>
      <c r="BQ31"/>
      <c r="BR31"/>
      <c r="BS31"/>
      <c r="BT31"/>
      <c r="BV31"/>
      <c r="BW31"/>
      <c r="BX31"/>
      <c r="BY31"/>
      <c r="BZ31"/>
      <c r="CA31"/>
      <c r="CB31"/>
      <c r="DE31" s="1"/>
      <c r="DF31" s="1"/>
      <c r="DG31" s="1"/>
      <c r="DH31" s="1"/>
      <c r="DI31" s="1"/>
      <c r="DJ31" s="1"/>
      <c r="DK31" s="1"/>
      <c r="DL31" s="1"/>
      <c r="FY31" s="111">
        <f>ROW()</f>
        <v>31</v>
      </c>
      <c r="FZ31" s="175" t="s">
        <v>239</v>
      </c>
      <c r="GA31" s="135">
        <v>0.21</v>
      </c>
      <c r="GB31" s="417">
        <f t="shared" ref="GB31:GL31" si="158">-$GA$31*GB29</f>
        <v>-920244.87975856184</v>
      </c>
      <c r="GC31" s="417">
        <f t="shared" si="158"/>
        <v>293791.68409413501</v>
      </c>
      <c r="GD31" s="417">
        <f t="shared" si="158"/>
        <v>-626453.19566442689</v>
      </c>
      <c r="GE31" s="417">
        <f t="shared" si="158"/>
        <v>-49183.341404883569</v>
      </c>
      <c r="GF31" s="417">
        <f t="shared" si="158"/>
        <v>-675636.53706931043</v>
      </c>
      <c r="GG31" s="417">
        <f t="shared" si="158"/>
        <v>-21567.465738920851</v>
      </c>
      <c r="GH31" s="417">
        <f t="shared" si="158"/>
        <v>-697204.00280823139</v>
      </c>
      <c r="GI31" s="417">
        <f t="shared" si="158"/>
        <v>-5116.1977233749985</v>
      </c>
      <c r="GJ31" s="417">
        <f t="shared" si="158"/>
        <v>-702320.20053160633</v>
      </c>
      <c r="GK31" s="417">
        <f t="shared" si="158"/>
        <v>-404.78128458990801</v>
      </c>
      <c r="GL31" s="417">
        <f t="shared" si="158"/>
        <v>-702724.98181619635</v>
      </c>
      <c r="GM31" s="417"/>
      <c r="GN31" s="417"/>
      <c r="GO31" s="417"/>
      <c r="GP31" s="417"/>
      <c r="GQ31" s="111">
        <f>ROW()</f>
        <v>31</v>
      </c>
      <c r="GR31" s="112"/>
      <c r="GS31" s="112"/>
      <c r="GT31" s="414"/>
      <c r="GU31" s="414"/>
      <c r="GV31" s="414"/>
      <c r="GW31" s="414"/>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c r="IT31"/>
      <c r="IU31"/>
      <c r="IV31"/>
      <c r="IW31"/>
      <c r="IX31"/>
      <c r="IY31"/>
      <c r="IZ31"/>
      <c r="JA31" s="168"/>
      <c r="JB31" s="168"/>
      <c r="JC31" s="168"/>
      <c r="JD31" s="168"/>
      <c r="JE31" s="168"/>
      <c r="JF31" s="168"/>
      <c r="JG31" s="168"/>
      <c r="JH31" s="168"/>
      <c r="JI31" s="168"/>
      <c r="JJ31" s="168"/>
      <c r="JK31"/>
      <c r="JL31"/>
      <c r="JM31"/>
      <c r="JN31"/>
      <c r="JO31"/>
      <c r="JP31"/>
      <c r="JQ31"/>
      <c r="JR31"/>
      <c r="JS31"/>
      <c r="JT31"/>
      <c r="JU31"/>
      <c r="JV31"/>
      <c r="JW31"/>
      <c r="JX31"/>
      <c r="JY31"/>
      <c r="JZ31"/>
      <c r="KA31"/>
      <c r="KB31"/>
      <c r="KU31" s="111">
        <f>ROW()</f>
        <v>31</v>
      </c>
      <c r="KV31" s="605" t="s">
        <v>259</v>
      </c>
      <c r="KW31" s="585"/>
      <c r="KX31" s="203">
        <f t="shared" ref="KX31:LI31" si="159">+KX29</f>
        <v>62406260.05666092</v>
      </c>
      <c r="KY31" s="203">
        <f t="shared" si="159"/>
        <v>3702322.6934609008</v>
      </c>
      <c r="KZ31" s="203">
        <f t="shared" si="159"/>
        <v>66108582.750121817</v>
      </c>
      <c r="LA31" s="203">
        <f t="shared" ref="LA31:LC31" si="160">+LA29</f>
        <v>0</v>
      </c>
      <c r="LB31" s="203">
        <f t="shared" si="159"/>
        <v>66108582.750121817</v>
      </c>
      <c r="LC31" s="203">
        <f t="shared" si="160"/>
        <v>0</v>
      </c>
      <c r="LD31" s="203">
        <f t="shared" si="159"/>
        <v>66108582.750121817</v>
      </c>
      <c r="LE31" s="203">
        <f t="shared" si="159"/>
        <v>0</v>
      </c>
      <c r="LF31" s="203">
        <f t="shared" si="159"/>
        <v>66108582.750121817</v>
      </c>
      <c r="LG31" s="203">
        <f t="shared" si="159"/>
        <v>0</v>
      </c>
      <c r="LH31" s="203">
        <f t="shared" si="159"/>
        <v>66108582.750121817</v>
      </c>
      <c r="LI31" s="203">
        <f t="shared" si="159"/>
        <v>0</v>
      </c>
      <c r="LJ31" s="203">
        <f t="shared" ref="LJ31" si="161">+LJ29</f>
        <v>0</v>
      </c>
      <c r="LK31" s="203">
        <f t="shared" ref="LK31:LL31" si="162">+LK29</f>
        <v>0</v>
      </c>
      <c r="LL31" s="203">
        <f t="shared" si="162"/>
        <v>0</v>
      </c>
      <c r="LM31" s="111"/>
      <c r="LP31" s="329"/>
      <c r="LQ31" s="329"/>
      <c r="LR31" s="329"/>
      <c r="LS31" s="329"/>
      <c r="LT31" s="329"/>
      <c r="LU31" s="329"/>
      <c r="LV31" s="329"/>
      <c r="LW31" s="329"/>
      <c r="LX31" s="329"/>
      <c r="LY31" s="329"/>
      <c r="LZ31" s="329"/>
      <c r="MA31" s="329"/>
      <c r="MB31" s="329"/>
      <c r="MC31" s="329"/>
      <c r="MD31" s="329"/>
      <c r="ME31" s="111">
        <f>ROW()</f>
        <v>31</v>
      </c>
      <c r="MF31" s="117" t="s">
        <v>224</v>
      </c>
      <c r="MH31" s="382">
        <f t="shared" ref="MH31:MR31" si="163">-MH27-MH29</f>
        <v>-153407932.90507326</v>
      </c>
      <c r="MI31" s="382">
        <f t="shared" si="163"/>
        <v>-6824350.6486586146</v>
      </c>
      <c r="MJ31" s="382">
        <f t="shared" si="163"/>
        <v>-160232283.55373186</v>
      </c>
      <c r="MK31" s="382">
        <f t="shared" si="163"/>
        <v>0</v>
      </c>
      <c r="ML31" s="382">
        <f t="shared" si="163"/>
        <v>-160232283.55373186</v>
      </c>
      <c r="MM31" s="382">
        <f t="shared" si="163"/>
        <v>0</v>
      </c>
      <c r="MN31" s="382">
        <f t="shared" si="163"/>
        <v>-160232283.55373186</v>
      </c>
      <c r="MO31" s="382">
        <f t="shared" si="163"/>
        <v>0</v>
      </c>
      <c r="MP31" s="382">
        <f t="shared" si="163"/>
        <v>-160232283.55373186</v>
      </c>
      <c r="MQ31" s="382">
        <f t="shared" si="163"/>
        <v>0</v>
      </c>
      <c r="MR31" s="382">
        <f t="shared" si="163"/>
        <v>-160232283.55373186</v>
      </c>
      <c r="MS31" s="382"/>
      <c r="MT31" s="382"/>
      <c r="MU31" s="382"/>
      <c r="MV31" s="382"/>
      <c r="MW31" s="111"/>
      <c r="NO31" s="111">
        <f>ROW()</f>
        <v>31</v>
      </c>
      <c r="NP31" s="277" t="s">
        <v>224</v>
      </c>
      <c r="NR31" s="583">
        <f t="shared" ref="NR31:OF31" si="164">NR29-NR30</f>
        <v>0</v>
      </c>
      <c r="NS31" s="583">
        <f t="shared" si="164"/>
        <v>0</v>
      </c>
      <c r="NT31" s="583">
        <f t="shared" si="164"/>
        <v>0</v>
      </c>
      <c r="NU31" s="583">
        <f t="shared" si="164"/>
        <v>0</v>
      </c>
      <c r="NV31" s="583">
        <f t="shared" si="164"/>
        <v>0</v>
      </c>
      <c r="NW31" s="583">
        <f t="shared" si="164"/>
        <v>0</v>
      </c>
      <c r="NX31" s="583">
        <f t="shared" si="164"/>
        <v>-156864392.4749127</v>
      </c>
      <c r="NY31" s="604">
        <f t="shared" si="164"/>
        <v>-3301998.5104280058</v>
      </c>
      <c r="NZ31" s="583">
        <f t="shared" ref="NZ31" si="165">NZ29-NZ30</f>
        <v>-160166390.98534068</v>
      </c>
      <c r="OA31" s="604">
        <f t="shared" si="164"/>
        <v>-6093010.4359589107</v>
      </c>
      <c r="OB31" s="583">
        <f t="shared" ref="OB31:OC31" si="166">OB29-OB30</f>
        <v>-166259401.42129958</v>
      </c>
      <c r="OC31" s="604">
        <f t="shared" si="166"/>
        <v>0</v>
      </c>
      <c r="OD31" s="583">
        <f t="shared" ref="OD31" si="167">OD29-OD30</f>
        <v>0</v>
      </c>
      <c r="OE31" s="604">
        <f t="shared" si="164"/>
        <v>0</v>
      </c>
      <c r="OF31" s="583">
        <f t="shared" si="164"/>
        <v>0</v>
      </c>
      <c r="OG31" s="111">
        <f>ROW()</f>
        <v>31</v>
      </c>
      <c r="OH31" s="1" t="s">
        <v>80</v>
      </c>
      <c r="OJ31" s="439"/>
      <c r="OK31" s="439"/>
      <c r="OL31" s="439"/>
      <c r="OM31" s="439"/>
      <c r="ON31" s="439"/>
      <c r="OO31" s="439"/>
      <c r="OP31" s="439"/>
      <c r="OQ31" s="439"/>
      <c r="OR31" s="439"/>
      <c r="OS31" s="439"/>
      <c r="OT31" s="439"/>
      <c r="OU31" s="359"/>
      <c r="OV31" s="359"/>
      <c r="OW31" s="359"/>
      <c r="OX31" s="359"/>
      <c r="OY31" s="111">
        <f>ROW()</f>
        <v>31</v>
      </c>
      <c r="OZ31" s="163" t="s">
        <v>967</v>
      </c>
      <c r="PA31" s="163"/>
      <c r="PB31" s="121">
        <v>-1875456.2128876231</v>
      </c>
      <c r="PC31" s="787">
        <v>1207521.3884653552</v>
      </c>
      <c r="PD31" s="121">
        <f t="shared" si="151"/>
        <v>-667934.82442226796</v>
      </c>
      <c r="PE31" s="787">
        <v>-1207521.3884653552</v>
      </c>
      <c r="PF31" s="405">
        <f t="shared" si="152"/>
        <v>-1875456.2128876231</v>
      </c>
      <c r="PG31" s="787">
        <v>0</v>
      </c>
      <c r="PH31" s="405">
        <f t="shared" si="153"/>
        <v>-1875456.2128876231</v>
      </c>
      <c r="PI31" s="787">
        <v>0</v>
      </c>
      <c r="PJ31" s="419">
        <f t="shared" si="154"/>
        <v>-1875456.2128876231</v>
      </c>
      <c r="PK31" s="787">
        <v>0</v>
      </c>
      <c r="PL31" s="419">
        <f t="shared" si="155"/>
        <v>-1875456.2128876231</v>
      </c>
      <c r="PM31" s="603"/>
      <c r="PN31" s="603"/>
      <c r="PO31" s="121"/>
      <c r="PP31" s="121"/>
      <c r="PQ31"/>
      <c r="PR31"/>
      <c r="PS31"/>
      <c r="PT31"/>
      <c r="PU31"/>
      <c r="PV31"/>
      <c r="PW31"/>
      <c r="PX31"/>
      <c r="PY31"/>
      <c r="PZ31"/>
      <c r="QA31"/>
      <c r="QB31"/>
      <c r="QC31"/>
      <c r="QD31"/>
      <c r="QE31"/>
      <c r="QF31"/>
      <c r="QG31"/>
      <c r="QH31"/>
      <c r="RB31" s="336">
        <f>ROW()</f>
        <v>31</v>
      </c>
      <c r="RC31" s="329" t="s">
        <v>224</v>
      </c>
      <c r="RD31" s="329"/>
      <c r="RE31" s="371"/>
      <c r="RF31" s="371"/>
      <c r="RG31" s="371">
        <f t="shared" ref="RG31:RO31" si="168">-RG27-RG29</f>
        <v>-153094257.23723185</v>
      </c>
      <c r="RH31" s="371">
        <f t="shared" si="168"/>
        <v>-298420.97900107928</v>
      </c>
      <c r="RI31" s="371">
        <f t="shared" si="168"/>
        <v>-153392678.21623296</v>
      </c>
      <c r="RJ31" s="371">
        <f t="shared" si="168"/>
        <v>1555027.3769056804</v>
      </c>
      <c r="RK31" s="371">
        <f t="shared" si="168"/>
        <v>-151837650.83932725</v>
      </c>
      <c r="RL31" s="371">
        <f t="shared" si="168"/>
        <v>-53244588.094624028</v>
      </c>
      <c r="RM31" s="371">
        <f t="shared" si="168"/>
        <v>-205082238.93395129</v>
      </c>
      <c r="RN31" s="371">
        <f t="shared" si="168"/>
        <v>7125267.925121028</v>
      </c>
      <c r="RO31" s="371">
        <f t="shared" si="168"/>
        <v>-197956971.00883025</v>
      </c>
      <c r="RP31" s="371"/>
      <c r="RQ31" s="371"/>
      <c r="RR31" s="371"/>
      <c r="RS31" s="371"/>
      <c r="RT31" s="345">
        <f>ROW()</f>
        <v>31</v>
      </c>
      <c r="RU31" s="341"/>
      <c r="RV31" s="241"/>
      <c r="RW31" s="241"/>
      <c r="RX31" s="241"/>
      <c r="RY31" s="241"/>
      <c r="RZ31" s="241"/>
      <c r="SA31" s="241"/>
      <c r="SB31" s="241"/>
      <c r="SC31" s="241"/>
      <c r="SD31" s="241"/>
      <c r="SE31" s="241"/>
      <c r="SF31" s="241"/>
      <c r="SG31" s="241"/>
      <c r="SH31" s="241"/>
      <c r="SI31" s="241"/>
      <c r="SJ31" s="241"/>
      <c r="SK31" s="241"/>
      <c r="SL31" s="336">
        <f>ROW()</f>
        <v>31</v>
      </c>
      <c r="SM31" s="329" t="s">
        <v>872</v>
      </c>
      <c r="SN31" s="338"/>
      <c r="SO31" s="371"/>
      <c r="SP31" s="371"/>
      <c r="SQ31" s="371"/>
      <c r="SR31" s="371">
        <f t="shared" ref="SR31:SY31" si="169">SUM(SR28:SR30)</f>
        <v>63796583.976750001</v>
      </c>
      <c r="SS31" s="371">
        <f t="shared" si="169"/>
        <v>63796583.976750001</v>
      </c>
      <c r="ST31" s="371">
        <f t="shared" si="169"/>
        <v>126477500.64549002</v>
      </c>
      <c r="SU31" s="371">
        <f t="shared" si="169"/>
        <v>190274084.62224001</v>
      </c>
      <c r="SV31" s="371">
        <f t="shared" si="169"/>
        <v>52167450.423619971</v>
      </c>
      <c r="SW31" s="371">
        <f t="shared" si="169"/>
        <v>242441535.04585996</v>
      </c>
      <c r="SX31" s="371">
        <f t="shared" si="169"/>
        <v>122407421.21765506</v>
      </c>
      <c r="SY31" s="371">
        <f t="shared" si="169"/>
        <v>364848956.263515</v>
      </c>
      <c r="SZ31" s="371"/>
      <c r="TA31" s="371"/>
      <c r="TB31" s="574"/>
      <c r="TC31" s="574"/>
      <c r="TE31" s="336">
        <f>ROW()</f>
        <v>31</v>
      </c>
      <c r="TK31"/>
      <c r="TL31"/>
      <c r="TM31"/>
      <c r="TN31"/>
      <c r="TO31"/>
      <c r="TP31"/>
      <c r="TQ31"/>
      <c r="TR31"/>
      <c r="TS31"/>
      <c r="TT31"/>
      <c r="TU31"/>
      <c r="TV31"/>
      <c r="TW31"/>
      <c r="TX31" s="336">
        <f>ROW()</f>
        <v>31</v>
      </c>
      <c r="UA31" s="121"/>
      <c r="UB31" s="121"/>
      <c r="UC31" s="121"/>
      <c r="UD31" s="121"/>
      <c r="UE31" s="121"/>
      <c r="UF31" s="121"/>
      <c r="UG31" s="121"/>
      <c r="UH31" s="121"/>
      <c r="UI31" s="121"/>
      <c r="UJ31" s="121"/>
      <c r="UK31" s="121"/>
      <c r="UL31" s="121"/>
      <c r="UM31" s="121"/>
      <c r="UN31" s="121"/>
      <c r="UO31" s="121"/>
      <c r="VJ31" s="345">
        <f>ROW()</f>
        <v>31</v>
      </c>
      <c r="VK31" s="232"/>
      <c r="VL31" s="320">
        <v>0.21</v>
      </c>
      <c r="VM31" s="366"/>
      <c r="VN31" s="366"/>
      <c r="VO31" s="366"/>
      <c r="VP31" s="366"/>
      <c r="VQ31" s="366"/>
      <c r="VR31" s="366"/>
      <c r="VS31" s="366"/>
      <c r="VT31" s="366"/>
      <c r="VU31" s="366"/>
      <c r="VV31" s="366"/>
      <c r="VW31" s="366"/>
    </row>
    <row r="32" spans="1:610" ht="15.5" thickTop="1" thickBot="1" x14ac:dyDescent="0.4">
      <c r="A32" s="111">
        <f>ROW()</f>
        <v>32</v>
      </c>
      <c r="B32" t="s">
        <v>1647</v>
      </c>
      <c r="C32" s="1188" t="s">
        <v>1869</v>
      </c>
      <c r="D32" s="1192"/>
      <c r="E32" s="1192">
        <f>'GAS COS Revenues'!$D$54</f>
        <v>21521924.117577225</v>
      </c>
      <c r="F32" s="1189"/>
      <c r="G32" s="1193"/>
      <c r="H32" s="1189"/>
      <c r="I32" s="1193"/>
      <c r="J32" s="1191"/>
      <c r="K32" s="1193"/>
      <c r="L32" s="1193"/>
      <c r="M32" s="1193"/>
      <c r="N32" s="728"/>
      <c r="O32" s="189"/>
      <c r="P32" s="728"/>
      <c r="Q32" s="189"/>
      <c r="R32" s="728"/>
      <c r="S32" s="111">
        <f>ROW()</f>
        <v>32</v>
      </c>
      <c r="T32" s="131" t="s">
        <v>990</v>
      </c>
      <c r="U32" s="239"/>
      <c r="V32" s="121">
        <f>-W32</f>
        <v>0</v>
      </c>
      <c r="W32" s="134">
        <f>'GAS COS Revenues'!$E$6</f>
        <v>0</v>
      </c>
      <c r="X32" s="261"/>
      <c r="Y32" s="261"/>
      <c r="Z32" s="261">
        <f t="shared" si="6"/>
        <v>0</v>
      </c>
      <c r="AA32" s="261"/>
      <c r="AB32" s="261">
        <f t="shared" si="7"/>
        <v>0</v>
      </c>
      <c r="AC32" s="261"/>
      <c r="AD32" s="261">
        <f t="shared" si="8"/>
        <v>0</v>
      </c>
      <c r="AE32" s="261"/>
      <c r="AF32" s="261">
        <f t="shared" si="9"/>
        <v>0</v>
      </c>
      <c r="AG32" s="261"/>
      <c r="AH32" s="261"/>
      <c r="AI32" s="261"/>
      <c r="AJ32" s="261"/>
      <c r="AK32" s="111"/>
      <c r="AP32" s="114"/>
      <c r="AQ32" s="121"/>
      <c r="AR32" s="114"/>
      <c r="AU32" s="114"/>
      <c r="AV32" s="121"/>
      <c r="AW32" s="114"/>
      <c r="BB32" s="114"/>
      <c r="BD32"/>
      <c r="BE32"/>
      <c r="BF32"/>
      <c r="BG32"/>
      <c r="BH32"/>
      <c r="BI32"/>
      <c r="BJ32"/>
      <c r="BK32"/>
      <c r="BL32"/>
      <c r="BM32"/>
      <c r="BN32"/>
      <c r="BO32"/>
      <c r="BP32"/>
      <c r="BQ32"/>
      <c r="BR32"/>
      <c r="BS32"/>
      <c r="BT32"/>
      <c r="BV32"/>
      <c r="BW32"/>
      <c r="BX32"/>
      <c r="BY32"/>
      <c r="BZ32"/>
      <c r="CA32"/>
      <c r="CB32"/>
      <c r="DE32" s="1"/>
      <c r="DF32" s="1"/>
      <c r="DG32" s="1"/>
      <c r="DH32" s="1"/>
      <c r="DI32" s="1"/>
      <c r="DJ32" s="1"/>
      <c r="DK32" s="1"/>
      <c r="DL32" s="1"/>
      <c r="FY32" s="111">
        <f>ROW()</f>
        <v>32</v>
      </c>
      <c r="FZ32" s="112" t="s">
        <v>224</v>
      </c>
      <c r="GB32" s="602">
        <f t="shared" ref="GB32:GL32" si="170">-GB29-GB31</f>
        <v>-3461873.5952822091</v>
      </c>
      <c r="GC32" s="602">
        <f t="shared" si="170"/>
        <v>1105216.335401746</v>
      </c>
      <c r="GD32" s="602">
        <f t="shared" si="170"/>
        <v>-2356657.2598804631</v>
      </c>
      <c r="GE32" s="602">
        <f t="shared" si="170"/>
        <v>-185023.04623741916</v>
      </c>
      <c r="GF32" s="602">
        <f t="shared" si="170"/>
        <v>-2541680.3061178825</v>
      </c>
      <c r="GG32" s="602">
        <f t="shared" si="170"/>
        <v>-81134.752065464156</v>
      </c>
      <c r="GH32" s="602">
        <f t="shared" si="170"/>
        <v>-2622815.0581833469</v>
      </c>
      <c r="GI32" s="602">
        <f t="shared" si="170"/>
        <v>-19246.648578410714</v>
      </c>
      <c r="GJ32" s="602">
        <f t="shared" si="170"/>
        <v>-2642061.7067617569</v>
      </c>
      <c r="GK32" s="602">
        <f t="shared" si="170"/>
        <v>-1522.7486420287016</v>
      </c>
      <c r="GL32" s="602">
        <f t="shared" si="170"/>
        <v>-2643584.4554037862</v>
      </c>
      <c r="GM32" s="602"/>
      <c r="GN32" s="602"/>
      <c r="GO32" s="602"/>
      <c r="GP32" s="602"/>
      <c r="GQ32" s="111">
        <f>ROW()</f>
        <v>32</v>
      </c>
      <c r="GR32" s="112" t="s">
        <v>238</v>
      </c>
      <c r="GS32" s="112"/>
      <c r="GT32" s="114">
        <f t="shared" ref="GT32:HD32" si="171">+GT30</f>
        <v>3605749.2102098935</v>
      </c>
      <c r="GU32" s="114">
        <f t="shared" si="171"/>
        <v>191286.54157686234</v>
      </c>
      <c r="GV32" s="114">
        <f t="shared" si="171"/>
        <v>3797035.7517867559</v>
      </c>
      <c r="GW32" s="114">
        <f t="shared" si="171"/>
        <v>0</v>
      </c>
      <c r="GX32" s="114">
        <f t="shared" si="171"/>
        <v>3797035.7517867559</v>
      </c>
      <c r="GY32" s="114">
        <f t="shared" si="171"/>
        <v>0</v>
      </c>
      <c r="GZ32" s="114">
        <f t="shared" si="171"/>
        <v>3797035.7517867559</v>
      </c>
      <c r="HA32" s="114">
        <f t="shared" si="171"/>
        <v>0</v>
      </c>
      <c r="HB32" s="114">
        <f t="shared" si="171"/>
        <v>3797035.7517867559</v>
      </c>
      <c r="HC32" s="114">
        <f t="shared" si="171"/>
        <v>0</v>
      </c>
      <c r="HD32" s="114">
        <f t="shared" si="171"/>
        <v>3797035.7517867559</v>
      </c>
      <c r="HE32" s="114">
        <f t="shared" ref="HE32:HH32" si="172">+HE30</f>
        <v>0</v>
      </c>
      <c r="HF32" s="114">
        <f t="shared" si="172"/>
        <v>0</v>
      </c>
      <c r="HG32" s="114">
        <f t="shared" si="172"/>
        <v>0</v>
      </c>
      <c r="HH32" s="114">
        <f t="shared" si="172"/>
        <v>0</v>
      </c>
      <c r="IS32"/>
      <c r="IT32"/>
      <c r="IU32"/>
      <c r="IV32"/>
      <c r="IW32"/>
      <c r="IX32"/>
      <c r="IY32"/>
      <c r="IZ32"/>
      <c r="JK32"/>
      <c r="JL32"/>
      <c r="JM32"/>
      <c r="JN32"/>
      <c r="JO32"/>
      <c r="JP32"/>
      <c r="JQ32"/>
      <c r="JR32"/>
      <c r="JS32"/>
      <c r="JT32"/>
      <c r="JU32"/>
      <c r="JV32"/>
      <c r="JW32"/>
      <c r="JX32"/>
      <c r="JY32"/>
      <c r="JZ32"/>
      <c r="KA32"/>
      <c r="KB32"/>
      <c r="KU32" s="111">
        <f>ROW()</f>
        <v>32</v>
      </c>
      <c r="KV32" s="232" t="s">
        <v>989</v>
      </c>
      <c r="KW32" s="202">
        <f>FIT</f>
        <v>0.21</v>
      </c>
      <c r="KX32" s="204">
        <f t="shared" ref="KX32:LI32" si="173">-KX31*$KW$32</f>
        <v>-13105314.611898793</v>
      </c>
      <c r="KY32" s="204">
        <f t="shared" si="173"/>
        <v>-777487.76562678919</v>
      </c>
      <c r="KZ32" s="204">
        <f t="shared" si="173"/>
        <v>-13882802.377525581</v>
      </c>
      <c r="LA32" s="204">
        <f t="shared" ref="LA32:LC32" si="174">-LA31*$KW$32</f>
        <v>0</v>
      </c>
      <c r="LB32" s="204">
        <f t="shared" si="173"/>
        <v>-13882802.377525581</v>
      </c>
      <c r="LC32" s="204">
        <f t="shared" si="174"/>
        <v>0</v>
      </c>
      <c r="LD32" s="204">
        <f t="shared" si="173"/>
        <v>-13882802.377525581</v>
      </c>
      <c r="LE32" s="204">
        <f t="shared" si="173"/>
        <v>0</v>
      </c>
      <c r="LF32" s="204">
        <f t="shared" si="173"/>
        <v>-13882802.377525581</v>
      </c>
      <c r="LG32" s="204">
        <f t="shared" si="173"/>
        <v>0</v>
      </c>
      <c r="LH32" s="204">
        <f t="shared" si="173"/>
        <v>-13882802.377525581</v>
      </c>
      <c r="LI32" s="204">
        <f t="shared" si="173"/>
        <v>0</v>
      </c>
      <c r="LJ32" s="204">
        <f t="shared" ref="LJ32" si="175">-LJ31*$KW$32</f>
        <v>0</v>
      </c>
      <c r="LK32" s="204">
        <f t="shared" ref="LK32:LL32" si="176">-LK31*$KW$32</f>
        <v>0</v>
      </c>
      <c r="LL32" s="204">
        <f t="shared" si="176"/>
        <v>0</v>
      </c>
      <c r="LP32" s="329"/>
      <c r="LQ32" s="329"/>
      <c r="LR32" s="329"/>
      <c r="LS32" s="329"/>
      <c r="LT32" s="329"/>
      <c r="LU32" s="329"/>
      <c r="LV32" s="329"/>
      <c r="LW32" s="329"/>
      <c r="LX32" s="329"/>
      <c r="LY32" s="329"/>
      <c r="LZ32" s="329"/>
      <c r="MA32" s="329"/>
      <c r="MB32" s="329"/>
      <c r="MC32" s="329"/>
      <c r="MD32" s="329"/>
      <c r="ME32" s="111">
        <f>ROW()</f>
        <v>32</v>
      </c>
      <c r="MH32" s="121"/>
      <c r="MI32" s="121"/>
      <c r="MJ32" s="121"/>
      <c r="MK32" s="121"/>
      <c r="ML32" s="121"/>
      <c r="MM32" s="121"/>
      <c r="MN32" s="121"/>
      <c r="MO32" s="121"/>
      <c r="MP32" s="121"/>
      <c r="MQ32" s="121"/>
      <c r="MR32" s="121"/>
      <c r="MS32" s="121"/>
      <c r="MT32" s="121"/>
      <c r="MU32" s="121"/>
      <c r="MV32" s="121"/>
      <c r="MW32" s="111"/>
      <c r="OG32" s="111">
        <f>ROW()</f>
        <v>32</v>
      </c>
      <c r="OH32" s="1" t="s">
        <v>266</v>
      </c>
      <c r="OJ32" s="134">
        <f>-OJ30</f>
        <v>2906116.24</v>
      </c>
      <c r="OK32" s="134">
        <f t="shared" ref="OK32:ON32" si="177">-OK30</f>
        <v>0</v>
      </c>
      <c r="OL32" s="134">
        <f t="shared" si="177"/>
        <v>2906116.24</v>
      </c>
      <c r="OM32" s="134">
        <f t="shared" si="177"/>
        <v>-2906116.24</v>
      </c>
      <c r="ON32" s="134">
        <f t="shared" si="177"/>
        <v>0</v>
      </c>
      <c r="OO32" s="134"/>
      <c r="OP32" s="134"/>
      <c r="OQ32" s="134"/>
      <c r="OR32" s="134"/>
      <c r="OS32" s="134"/>
      <c r="OT32" s="134"/>
      <c r="OU32" s="358"/>
      <c r="OV32" s="358"/>
      <c r="OW32" s="358"/>
      <c r="OX32" s="358"/>
      <c r="OY32" s="111">
        <f>ROW()</f>
        <v>32</v>
      </c>
      <c r="OZ32" s="163"/>
      <c r="PA32" s="163"/>
      <c r="PB32" s="121"/>
      <c r="PC32" s="121"/>
      <c r="PD32" s="121"/>
      <c r="PE32" s="121"/>
      <c r="PF32" s="405"/>
      <c r="PG32" s="405"/>
      <c r="PH32" s="405"/>
      <c r="PI32" s="419"/>
      <c r="PJ32" s="419"/>
      <c r="PK32" s="419"/>
      <c r="PL32" s="419"/>
      <c r="PM32" s="589"/>
      <c r="PN32" s="589"/>
      <c r="PO32" s="121"/>
      <c r="PP32" s="121"/>
      <c r="PQ32"/>
      <c r="PR32"/>
      <c r="PS32"/>
      <c r="PT32"/>
      <c r="PU32"/>
      <c r="PV32"/>
      <c r="PW32"/>
      <c r="PX32"/>
      <c r="PY32"/>
      <c r="PZ32"/>
      <c r="QA32"/>
      <c r="QB32"/>
      <c r="QC32"/>
      <c r="QD32"/>
      <c r="QE32"/>
      <c r="QF32"/>
      <c r="QG32"/>
      <c r="QH32"/>
      <c r="RB32" s="336">
        <f>ROW()</f>
        <v>32</v>
      </c>
      <c r="RC32" s="329"/>
      <c r="RD32" s="329"/>
      <c r="RE32" s="341"/>
      <c r="RF32" s="341"/>
      <c r="RG32" s="341"/>
      <c r="RH32" s="341"/>
      <c r="RI32" s="341"/>
      <c r="RJ32" s="341"/>
      <c r="RK32" s="341"/>
      <c r="RL32" s="341"/>
      <c r="RM32" s="341"/>
      <c r="RN32" s="341"/>
      <c r="RO32" s="341"/>
      <c r="RP32" s="341"/>
      <c r="RQ32" s="341"/>
      <c r="RR32" s="341"/>
      <c r="RS32" s="341"/>
      <c r="RT32" s="345">
        <f>ROW()</f>
        <v>32</v>
      </c>
      <c r="RU32" s="329" t="s">
        <v>324</v>
      </c>
      <c r="RV32" s="241"/>
      <c r="RW32" s="241"/>
      <c r="RX32" s="241"/>
      <c r="RY32" s="241"/>
      <c r="RZ32" s="346"/>
      <c r="SA32" s="346"/>
      <c r="SB32" s="346"/>
      <c r="SC32" s="346"/>
      <c r="SD32" s="346"/>
      <c r="SE32" s="346"/>
      <c r="SF32" s="346"/>
      <c r="SG32" s="346"/>
      <c r="SH32" s="346"/>
      <c r="SI32" s="346"/>
      <c r="SJ32" s="346"/>
      <c r="SK32" s="346"/>
      <c r="SL32" s="336">
        <f>ROW()</f>
        <v>32</v>
      </c>
      <c r="SM32" s="329"/>
      <c r="SN32" s="338"/>
      <c r="SO32" s="341"/>
      <c r="SP32" s="341"/>
      <c r="SQ32" s="341"/>
      <c r="SR32" s="341"/>
      <c r="SS32" s="341"/>
      <c r="ST32" s="341"/>
      <c r="SU32" s="341"/>
      <c r="SV32" s="341"/>
      <c r="SW32" s="341"/>
      <c r="SX32" s="341"/>
      <c r="SY32" s="341"/>
      <c r="SZ32" s="341"/>
      <c r="TA32" s="341"/>
      <c r="TB32" s="600"/>
      <c r="TC32" s="600"/>
      <c r="TE32" s="336">
        <f>ROW()</f>
        <v>32</v>
      </c>
      <c r="TK32"/>
      <c r="TL32"/>
      <c r="TM32"/>
      <c r="TN32"/>
      <c r="TO32"/>
      <c r="TP32"/>
      <c r="TQ32"/>
      <c r="TR32"/>
      <c r="TS32"/>
      <c r="TT32"/>
      <c r="TU32"/>
      <c r="TV32"/>
      <c r="TW32"/>
      <c r="TX32" s="336">
        <f>ROW()</f>
        <v>32</v>
      </c>
      <c r="TY32" s="112" t="s">
        <v>1102</v>
      </c>
      <c r="UA32" s="121">
        <v>129012602</v>
      </c>
      <c r="UB32" s="121">
        <f t="shared" si="129"/>
        <v>-129012602</v>
      </c>
      <c r="UC32" s="121"/>
      <c r="UD32" s="121"/>
      <c r="UE32" s="121"/>
      <c r="UF32" s="121"/>
      <c r="UG32" s="121"/>
      <c r="UH32" s="121"/>
      <c r="UI32" s="121"/>
      <c r="UJ32" s="121"/>
      <c r="UK32" s="121"/>
      <c r="UL32" s="121"/>
      <c r="UM32" s="121"/>
      <c r="UN32" s="121"/>
      <c r="UO32" s="121"/>
      <c r="VJ32" s="345">
        <f>ROW()</f>
        <v>32</v>
      </c>
      <c r="VK32" s="232"/>
      <c r="VM32" s="924"/>
      <c r="VN32" s="924"/>
      <c r="VO32" s="924"/>
      <c r="VP32" s="924"/>
      <c r="VQ32" s="924"/>
      <c r="VR32" s="924"/>
      <c r="VS32" s="924"/>
      <c r="VT32" s="924"/>
      <c r="VU32" s="924"/>
      <c r="VV32" s="924"/>
      <c r="VW32" s="924"/>
    </row>
    <row r="33" spans="1:561" ht="15.5" thickTop="1" thickBot="1" x14ac:dyDescent="0.4">
      <c r="A33" s="111">
        <f>ROW()</f>
        <v>33</v>
      </c>
      <c r="B33" t="s">
        <v>1648</v>
      </c>
      <c r="C33" s="1188" t="s">
        <v>1869</v>
      </c>
      <c r="D33" s="1192"/>
      <c r="E33" s="1192">
        <f>'GAS COS Revenues'!$D$55</f>
        <v>-774015.48827239987</v>
      </c>
      <c r="F33" s="1189"/>
      <c r="G33" s="1193"/>
      <c r="H33" s="1189"/>
      <c r="I33" s="1193"/>
      <c r="J33" s="1191"/>
      <c r="K33" s="1193"/>
      <c r="L33" s="1193"/>
      <c r="M33" s="1193"/>
      <c r="N33" s="728"/>
      <c r="O33" s="189"/>
      <c r="P33" s="728"/>
      <c r="Q33" s="189"/>
      <c r="R33" s="728"/>
      <c r="S33" s="111">
        <f>ROW()</f>
        <v>33</v>
      </c>
      <c r="T33" s="204" t="s">
        <v>349</v>
      </c>
      <c r="U33" s="238"/>
      <c r="V33" s="429">
        <f t="shared" ref="V33:AF33" si="178">SUM(V17:V32)</f>
        <v>716603346.3903172</v>
      </c>
      <c r="W33" s="429">
        <f t="shared" si="178"/>
        <v>-716603346.3903172</v>
      </c>
      <c r="X33" s="429">
        <f t="shared" si="178"/>
        <v>0</v>
      </c>
      <c r="Y33" s="429">
        <f t="shared" si="178"/>
        <v>0</v>
      </c>
      <c r="Z33" s="429">
        <f t="shared" si="178"/>
        <v>0</v>
      </c>
      <c r="AA33" s="429">
        <f t="shared" si="178"/>
        <v>0</v>
      </c>
      <c r="AB33" s="429">
        <f t="shared" si="178"/>
        <v>0</v>
      </c>
      <c r="AC33" s="429">
        <f t="shared" si="178"/>
        <v>0</v>
      </c>
      <c r="AD33" s="429">
        <f t="shared" si="178"/>
        <v>0</v>
      </c>
      <c r="AE33" s="429">
        <f t="shared" si="178"/>
        <v>0</v>
      </c>
      <c r="AF33" s="429">
        <f t="shared" si="178"/>
        <v>0</v>
      </c>
      <c r="AG33" s="429"/>
      <c r="AH33" s="429"/>
      <c r="AI33" s="429"/>
      <c r="AJ33" s="429"/>
      <c r="AL33"/>
      <c r="AM33"/>
      <c r="AN33"/>
      <c r="AO33"/>
      <c r="AP33"/>
      <c r="AQ33"/>
      <c r="AR33"/>
      <c r="AS33"/>
      <c r="AT33"/>
      <c r="AU33" s="121"/>
      <c r="AV33" s="121"/>
      <c r="AW33" s="121"/>
      <c r="AX33" s="121"/>
      <c r="AY33" s="121"/>
      <c r="AZ33" s="121"/>
      <c r="BA33" s="121"/>
      <c r="BB33" s="121"/>
      <c r="BD33"/>
      <c r="BE33"/>
      <c r="BF33"/>
      <c r="BG33"/>
      <c r="BH33"/>
      <c r="BI33"/>
      <c r="BJ33"/>
      <c r="BK33"/>
      <c r="BL33"/>
      <c r="BM33"/>
      <c r="BN33"/>
      <c r="BO33"/>
      <c r="BP33"/>
      <c r="BQ33"/>
      <c r="BR33"/>
      <c r="BS33"/>
      <c r="BT33"/>
      <c r="BV33"/>
      <c r="BW33"/>
      <c r="BX33"/>
      <c r="BY33"/>
      <c r="BZ33"/>
      <c r="CA33"/>
      <c r="CB33"/>
      <c r="DE33" s="1"/>
      <c r="DF33" s="1"/>
      <c r="DG33" s="1"/>
      <c r="DH33" s="1"/>
      <c r="DI33" s="1"/>
      <c r="DJ33" s="1"/>
      <c r="DK33" s="1"/>
      <c r="DL33" s="1"/>
      <c r="GF33" s="168"/>
      <c r="GQ33" s="111">
        <f>ROW()</f>
        <v>33</v>
      </c>
      <c r="GR33" s="112"/>
      <c r="GS33" s="112"/>
      <c r="IS33"/>
      <c r="IT33"/>
      <c r="IU33"/>
      <c r="IV33"/>
      <c r="IW33"/>
      <c r="IX33"/>
      <c r="IY33"/>
      <c r="IZ33"/>
      <c r="JK33"/>
      <c r="JL33"/>
      <c r="JM33"/>
      <c r="JN33"/>
      <c r="JO33"/>
      <c r="JP33"/>
      <c r="JQ33"/>
      <c r="JR33"/>
      <c r="JS33"/>
      <c r="JT33"/>
      <c r="JU33"/>
      <c r="JV33"/>
      <c r="JW33"/>
      <c r="JX33"/>
      <c r="JY33"/>
      <c r="JZ33"/>
      <c r="KA33"/>
      <c r="KB33"/>
      <c r="KU33" s="111">
        <f>ROW()</f>
        <v>33</v>
      </c>
      <c r="KV33" s="232" t="s">
        <v>224</v>
      </c>
      <c r="KW33" s="585"/>
      <c r="KX33" s="321">
        <f t="shared" ref="KX33:LI33" si="179">-KX31-KX32</f>
        <v>-49300945.444762126</v>
      </c>
      <c r="KY33" s="321">
        <f t="shared" si="179"/>
        <v>-2924834.9278341117</v>
      </c>
      <c r="KZ33" s="321">
        <f t="shared" si="179"/>
        <v>-52225780.372596234</v>
      </c>
      <c r="LA33" s="321">
        <f t="shared" ref="LA33:LC33" si="180">-LA31-LA32</f>
        <v>0</v>
      </c>
      <c r="LB33" s="321">
        <f t="shared" si="179"/>
        <v>-52225780.372596234</v>
      </c>
      <c r="LC33" s="321">
        <f t="shared" si="180"/>
        <v>0</v>
      </c>
      <c r="LD33" s="321">
        <f t="shared" si="179"/>
        <v>-52225780.372596234</v>
      </c>
      <c r="LE33" s="321">
        <f t="shared" si="179"/>
        <v>0</v>
      </c>
      <c r="LF33" s="321">
        <f t="shared" si="179"/>
        <v>-52225780.372596234</v>
      </c>
      <c r="LG33" s="321">
        <f t="shared" si="179"/>
        <v>0</v>
      </c>
      <c r="LH33" s="321">
        <f t="shared" si="179"/>
        <v>-52225780.372596234</v>
      </c>
      <c r="LI33" s="321">
        <f t="shared" si="179"/>
        <v>0</v>
      </c>
      <c r="LJ33" s="321">
        <f t="shared" ref="LJ33" si="181">-LJ31-LJ32</f>
        <v>0</v>
      </c>
      <c r="LK33" s="321">
        <f t="shared" ref="LK33:LL33" si="182">-LK31-LK32</f>
        <v>0</v>
      </c>
      <c r="LL33" s="321">
        <f t="shared" si="182"/>
        <v>0</v>
      </c>
      <c r="LP33" s="329"/>
      <c r="LQ33" s="329"/>
      <c r="LR33" s="329"/>
      <c r="LS33" s="329"/>
      <c r="LT33" s="329"/>
      <c r="LU33" s="329"/>
      <c r="LV33" s="329"/>
      <c r="LW33" s="329"/>
      <c r="LX33" s="329"/>
      <c r="LY33" s="329"/>
      <c r="LZ33" s="329"/>
      <c r="MA33" s="329"/>
      <c r="MB33" s="329"/>
      <c r="MC33" s="329"/>
      <c r="MD33" s="329"/>
      <c r="ME33" s="111">
        <f>ROW()</f>
        <v>33</v>
      </c>
      <c r="MF33" s="117" t="s">
        <v>324</v>
      </c>
      <c r="MH33" s="121"/>
      <c r="MI33" s="121"/>
      <c r="MJ33" s="121"/>
      <c r="MK33" s="121"/>
      <c r="ML33" s="121"/>
      <c r="MM33" s="121"/>
      <c r="MN33" s="121"/>
      <c r="MO33" s="121"/>
      <c r="MP33" s="121"/>
      <c r="MQ33" s="121"/>
      <c r="MR33" s="121"/>
      <c r="MS33" s="121"/>
      <c r="MT33" s="121"/>
      <c r="MU33" s="121"/>
      <c r="MV33" s="121"/>
      <c r="MW33" s="111"/>
      <c r="NP33" s="397"/>
      <c r="OG33" s="111">
        <f>ROW()</f>
        <v>33</v>
      </c>
      <c r="OH33" s="1" t="s">
        <v>80</v>
      </c>
      <c r="OJ33" s="134"/>
      <c r="OK33" s="134"/>
      <c r="OL33" s="134"/>
      <c r="OM33" s="134"/>
      <c r="ON33" s="134"/>
      <c r="OO33" s="134"/>
      <c r="OP33" s="134"/>
      <c r="OQ33" s="134"/>
      <c r="OR33" s="134"/>
      <c r="OS33" s="134"/>
      <c r="OT33" s="134"/>
      <c r="OU33" s="178"/>
      <c r="OV33" s="178"/>
      <c r="OW33" s="178"/>
      <c r="OX33" s="178"/>
      <c r="OY33" s="111">
        <f>ROW()</f>
        <v>33</v>
      </c>
      <c r="OZ33" s="112" t="s">
        <v>966</v>
      </c>
      <c r="PA33" s="163"/>
      <c r="PB33" s="789">
        <f t="shared" ref="PB33:PL33" si="183">SUM(PB30:PB32)</f>
        <v>-12653833.572559873</v>
      </c>
      <c r="PC33" s="789">
        <f t="shared" si="183"/>
        <v>8147230.8337291926</v>
      </c>
      <c r="PD33" s="789">
        <f t="shared" si="183"/>
        <v>-4506602.738830681</v>
      </c>
      <c r="PE33" s="789">
        <f t="shared" si="183"/>
        <v>-8147230.8337291926</v>
      </c>
      <c r="PF33" s="790">
        <f t="shared" si="183"/>
        <v>-12653833.572559873</v>
      </c>
      <c r="PG33" s="790">
        <f t="shared" si="183"/>
        <v>0</v>
      </c>
      <c r="PH33" s="790">
        <f t="shared" si="183"/>
        <v>-12653833.572559873</v>
      </c>
      <c r="PI33" s="791">
        <f t="shared" si="183"/>
        <v>0</v>
      </c>
      <c r="PJ33" s="791">
        <f t="shared" si="183"/>
        <v>-12653833.572559873</v>
      </c>
      <c r="PK33" s="791">
        <f t="shared" si="183"/>
        <v>0</v>
      </c>
      <c r="PL33" s="791">
        <f t="shared" si="183"/>
        <v>-12653833.572559873</v>
      </c>
      <c r="PM33" s="601"/>
      <c r="PN33" s="601"/>
      <c r="PO33" s="429"/>
      <c r="PP33" s="429"/>
      <c r="PQ33"/>
      <c r="PR33"/>
      <c r="PS33"/>
      <c r="PT33"/>
      <c r="PU33"/>
      <c r="PV33"/>
      <c r="PW33"/>
      <c r="PX33"/>
      <c r="PY33"/>
      <c r="PZ33"/>
      <c r="QA33"/>
      <c r="QB33"/>
      <c r="QC33"/>
      <c r="QD33"/>
      <c r="QE33"/>
      <c r="QF33"/>
      <c r="QG33"/>
      <c r="QH33"/>
      <c r="RB33" s="336">
        <f>ROW()</f>
        <v>33</v>
      </c>
      <c r="RC33" s="329" t="s">
        <v>324</v>
      </c>
      <c r="RD33" s="329"/>
      <c r="RE33" s="341"/>
      <c r="RF33" s="341"/>
      <c r="RG33" s="341"/>
      <c r="RH33" s="337"/>
      <c r="RI33" s="337"/>
      <c r="RJ33" s="337"/>
      <c r="RK33" s="337"/>
      <c r="RL33" s="337"/>
      <c r="RM33" s="337"/>
      <c r="RN33" s="337"/>
      <c r="RO33" s="337"/>
      <c r="RP33" s="337"/>
      <c r="RQ33" s="337"/>
      <c r="RR33" s="337"/>
      <c r="RS33" s="337"/>
      <c r="RT33" s="345">
        <f>ROW()</f>
        <v>33</v>
      </c>
      <c r="RU33" s="329" t="s">
        <v>988</v>
      </c>
      <c r="RV33" s="241"/>
      <c r="RW33" s="365"/>
      <c r="RX33" s="365"/>
      <c r="RY33" s="365"/>
      <c r="RZ33" s="365">
        <f>SA33</f>
        <v>42632.08</v>
      </c>
      <c r="SA33" s="365">
        <v>42632.08</v>
      </c>
      <c r="SB33" s="365">
        <f>SC33-SA33</f>
        <v>297280.34000000003</v>
      </c>
      <c r="SC33" s="365">
        <v>339912.42000000004</v>
      </c>
      <c r="SD33" s="365">
        <f>SE33-SC33</f>
        <v>424163.73</v>
      </c>
      <c r="SE33" s="365">
        <v>764076.15</v>
      </c>
      <c r="SF33" s="365">
        <f>SG33-SE33</f>
        <v>1154341.1600000001</v>
      </c>
      <c r="SG33" s="365">
        <v>1918417.31</v>
      </c>
      <c r="SH33" s="365"/>
      <c r="SI33" s="365"/>
      <c r="SJ33" s="365"/>
      <c r="SK33" s="365"/>
      <c r="SL33" s="336">
        <f>ROW()</f>
        <v>33</v>
      </c>
      <c r="SM33" s="411" t="s">
        <v>1873</v>
      </c>
      <c r="SN33" s="338"/>
      <c r="SO33" s="341"/>
      <c r="SP33" s="341"/>
      <c r="SQ33" s="341"/>
      <c r="SR33" s="341"/>
      <c r="SS33" s="341"/>
      <c r="ST33" s="341"/>
      <c r="SU33" s="341"/>
      <c r="SV33" s="341"/>
      <c r="SW33" s="341"/>
      <c r="SX33" s="341"/>
      <c r="SY33" s="341"/>
      <c r="SZ33" s="341"/>
      <c r="TA33" s="341"/>
      <c r="TB33" s="600"/>
      <c r="TC33" s="600"/>
      <c r="TE33" s="336">
        <f>ROW()</f>
        <v>33</v>
      </c>
      <c r="TK33"/>
      <c r="TL33"/>
      <c r="TM33"/>
      <c r="TN33"/>
      <c r="TO33"/>
      <c r="TP33"/>
      <c r="TQ33"/>
      <c r="TR33"/>
      <c r="TS33"/>
      <c r="TT33"/>
      <c r="TU33"/>
      <c r="TV33"/>
      <c r="TW33"/>
      <c r="TX33" s="336">
        <f>ROW()</f>
        <v>33</v>
      </c>
      <c r="TY33" s="129" t="s">
        <v>1103</v>
      </c>
      <c r="TZ33" s="129"/>
      <c r="UA33" s="121">
        <v>-129012602</v>
      </c>
      <c r="UB33" s="177">
        <f t="shared" si="129"/>
        <v>129012602</v>
      </c>
      <c r="UC33" s="177"/>
      <c r="UD33" s="177"/>
      <c r="UE33" s="177"/>
      <c r="UF33" s="177"/>
      <c r="UG33" s="177"/>
      <c r="UH33" s="177"/>
      <c r="UI33" s="177"/>
      <c r="UJ33" s="177"/>
      <c r="UK33" s="177"/>
      <c r="UL33" s="177"/>
      <c r="UM33" s="177"/>
      <c r="UN33" s="177"/>
      <c r="UO33" s="177"/>
    </row>
    <row r="34" spans="1:561" ht="15" thickTop="1" x14ac:dyDescent="0.35">
      <c r="A34" s="111">
        <f>ROW()</f>
        <v>34</v>
      </c>
      <c r="B34"/>
      <c r="C34" s="397"/>
      <c r="D34" s="1192"/>
      <c r="E34" s="1192"/>
      <c r="F34" s="1189"/>
      <c r="G34" s="1193"/>
      <c r="H34" s="1189"/>
      <c r="I34" s="1193"/>
      <c r="J34" s="1191"/>
      <c r="K34" s="1193"/>
      <c r="L34" s="1144"/>
      <c r="M34" s="1193"/>
      <c r="N34" s="728"/>
      <c r="O34" s="189"/>
      <c r="P34" s="728"/>
      <c r="Q34" s="189"/>
      <c r="R34" s="728"/>
      <c r="S34" s="111">
        <f>ROW()</f>
        <v>34</v>
      </c>
      <c r="T34" s="204"/>
      <c r="U34" s="238"/>
      <c r="V34" s="121"/>
      <c r="W34" s="134"/>
      <c r="AL34"/>
      <c r="AM34"/>
      <c r="AN34"/>
      <c r="AO34"/>
      <c r="AP34"/>
      <c r="AQ34"/>
      <c r="AR34"/>
      <c r="AS34"/>
      <c r="AT34"/>
      <c r="AU34" s="114"/>
      <c r="AV34" s="114"/>
      <c r="AW34" s="114"/>
      <c r="AX34" s="114"/>
      <c r="AY34" s="114"/>
      <c r="AZ34" s="114"/>
      <c r="BA34" s="114"/>
      <c r="BB34" s="114"/>
      <c r="BD34"/>
      <c r="BE34"/>
      <c r="BF34"/>
      <c r="BG34"/>
      <c r="BH34"/>
      <c r="BI34"/>
      <c r="BJ34"/>
      <c r="BK34"/>
      <c r="BL34"/>
      <c r="BM34"/>
      <c r="BN34"/>
      <c r="BO34"/>
      <c r="BP34"/>
      <c r="BQ34"/>
      <c r="BR34"/>
      <c r="BS34"/>
      <c r="BT34"/>
      <c r="BV34"/>
      <c r="BW34"/>
      <c r="BX34"/>
      <c r="BY34"/>
      <c r="BZ34"/>
      <c r="CA34"/>
      <c r="CB34"/>
      <c r="DE34" s="1"/>
      <c r="DF34" s="1"/>
      <c r="DG34" s="1"/>
      <c r="DH34" s="1"/>
      <c r="DI34" s="1"/>
      <c r="DJ34" s="1"/>
      <c r="DK34" s="1"/>
      <c r="DL34" s="1"/>
      <c r="GQ34" s="111">
        <f>ROW()</f>
        <v>34</v>
      </c>
      <c r="GR34" s="112" t="s">
        <v>239</v>
      </c>
      <c r="GS34" s="202">
        <f>FIT</f>
        <v>0.21</v>
      </c>
      <c r="GT34" s="191">
        <f t="shared" ref="GT34:HD34" si="184">-GT32*$GS$34</f>
        <v>-757207.33414407761</v>
      </c>
      <c r="GU34" s="191">
        <f t="shared" si="184"/>
        <v>-40170.173731141091</v>
      </c>
      <c r="GV34" s="191">
        <f t="shared" si="184"/>
        <v>-797377.50787521875</v>
      </c>
      <c r="GW34" s="191">
        <f t="shared" si="184"/>
        <v>0</v>
      </c>
      <c r="GX34" s="191">
        <f t="shared" si="184"/>
        <v>-797377.50787521875</v>
      </c>
      <c r="GY34" s="191">
        <f t="shared" si="184"/>
        <v>0</v>
      </c>
      <c r="GZ34" s="191">
        <f t="shared" si="184"/>
        <v>-797377.50787521875</v>
      </c>
      <c r="HA34" s="191">
        <f t="shared" si="184"/>
        <v>0</v>
      </c>
      <c r="HB34" s="191">
        <f t="shared" si="184"/>
        <v>-797377.50787521875</v>
      </c>
      <c r="HC34" s="191">
        <f t="shared" si="184"/>
        <v>0</v>
      </c>
      <c r="HD34" s="191">
        <f t="shared" si="184"/>
        <v>-797377.50787521875</v>
      </c>
      <c r="HE34" s="191">
        <f t="shared" ref="HE34:HH34" si="185">-HE32*$GS$34</f>
        <v>0</v>
      </c>
      <c r="HF34" s="191">
        <f t="shared" si="185"/>
        <v>0</v>
      </c>
      <c r="HG34" s="191">
        <f t="shared" si="185"/>
        <v>0</v>
      </c>
      <c r="HH34" s="191">
        <f t="shared" si="185"/>
        <v>0</v>
      </c>
      <c r="IS34"/>
      <c r="IT34"/>
      <c r="IU34"/>
      <c r="IV34"/>
      <c r="IW34"/>
      <c r="IX34"/>
      <c r="IY34"/>
      <c r="IZ34"/>
      <c r="JK34"/>
      <c r="JL34"/>
      <c r="JM34"/>
      <c r="JN34"/>
      <c r="JO34"/>
      <c r="JP34"/>
      <c r="JQ34"/>
      <c r="JR34"/>
      <c r="JS34"/>
      <c r="JT34"/>
      <c r="JU34"/>
      <c r="JV34"/>
      <c r="JW34"/>
      <c r="JX34"/>
      <c r="JY34"/>
      <c r="JZ34"/>
      <c r="KA34"/>
      <c r="KB34"/>
      <c r="LP34" s="329"/>
      <c r="LQ34" s="329"/>
      <c r="LR34" s="329"/>
      <c r="LS34" s="329"/>
      <c r="LT34" s="329"/>
      <c r="LU34" s="329"/>
      <c r="LV34" s="329"/>
      <c r="LW34" s="329"/>
      <c r="LX34" s="329"/>
      <c r="LY34" s="329"/>
      <c r="LZ34" s="329"/>
      <c r="MA34" s="329"/>
      <c r="MB34" s="329"/>
      <c r="MC34" s="329"/>
      <c r="MD34" s="329"/>
      <c r="ME34" s="111">
        <f>ROW()</f>
        <v>34</v>
      </c>
      <c r="MF34" s="117" t="s">
        <v>1029</v>
      </c>
      <c r="MH34" s="168">
        <f t="shared" ref="MH34:MR34" si="186">-MH27</f>
        <v>-194187256.84186488</v>
      </c>
      <c r="MI34" s="168">
        <f t="shared" si="186"/>
        <v>-8638418.5426058415</v>
      </c>
      <c r="MJ34" s="168">
        <f t="shared" si="186"/>
        <v>-202825675.3844707</v>
      </c>
      <c r="MK34" s="168">
        <f t="shared" si="186"/>
        <v>0</v>
      </c>
      <c r="ML34" s="168">
        <f t="shared" si="186"/>
        <v>-202825675.3844707</v>
      </c>
      <c r="MM34" s="168">
        <f t="shared" si="186"/>
        <v>0</v>
      </c>
      <c r="MN34" s="168">
        <f t="shared" si="186"/>
        <v>-202825675.3844707</v>
      </c>
      <c r="MO34" s="168">
        <f t="shared" si="186"/>
        <v>0</v>
      </c>
      <c r="MP34" s="168">
        <f t="shared" si="186"/>
        <v>-202825675.3844707</v>
      </c>
      <c r="MQ34" s="168">
        <f t="shared" si="186"/>
        <v>0</v>
      </c>
      <c r="MR34" s="168">
        <f t="shared" si="186"/>
        <v>-202825675.3844707</v>
      </c>
      <c r="MS34" s="168"/>
      <c r="MT34" s="168"/>
      <c r="MU34" s="168"/>
      <c r="MV34" s="168"/>
      <c r="MW34" s="111"/>
      <c r="NP34" s="397"/>
      <c r="OG34" s="111">
        <f>ROW()</f>
        <v>34</v>
      </c>
      <c r="OH34" s="1" t="s">
        <v>239</v>
      </c>
      <c r="OI34" s="135">
        <v>0.21</v>
      </c>
      <c r="OJ34" s="379">
        <f>OJ32*-$OI$34</f>
        <v>-610284.41040000005</v>
      </c>
      <c r="OK34" s="379">
        <f t="shared" ref="OK34:OM34" si="187">OK32*-$OI$34</f>
        <v>0</v>
      </c>
      <c r="OL34" s="379">
        <f t="shared" si="187"/>
        <v>-610284.41040000005</v>
      </c>
      <c r="OM34" s="379">
        <f t="shared" si="187"/>
        <v>610284.41040000005</v>
      </c>
      <c r="ON34" s="134"/>
      <c r="OO34" s="379"/>
      <c r="OP34" s="379"/>
      <c r="OQ34" s="379"/>
      <c r="OR34" s="379"/>
      <c r="OS34" s="379"/>
      <c r="OT34" s="379"/>
      <c r="OU34" s="134"/>
      <c r="OV34" s="134"/>
      <c r="OW34" s="134"/>
      <c r="OX34" s="134"/>
      <c r="OY34" s="111">
        <f>ROW()</f>
        <v>34</v>
      </c>
      <c r="OZ34" s="112"/>
      <c r="PA34" s="163"/>
      <c r="PB34" s="267"/>
      <c r="PC34" s="267"/>
      <c r="PD34" s="267"/>
      <c r="PE34" s="267"/>
      <c r="PF34" s="405"/>
      <c r="PG34" s="405"/>
      <c r="PH34" s="405"/>
      <c r="PI34" s="419"/>
      <c r="PJ34" s="419"/>
      <c r="PK34" s="419"/>
      <c r="PL34" s="419"/>
      <c r="PM34" s="593"/>
      <c r="PN34" s="593"/>
      <c r="PO34"/>
      <c r="PP34"/>
      <c r="PQ34"/>
      <c r="PR34"/>
      <c r="PS34"/>
      <c r="PT34"/>
      <c r="PU34"/>
      <c r="PV34"/>
      <c r="PW34"/>
      <c r="PX34"/>
      <c r="PY34"/>
      <c r="PZ34"/>
      <c r="QA34"/>
      <c r="QB34"/>
      <c r="QC34"/>
      <c r="QD34"/>
      <c r="QE34"/>
      <c r="QF34"/>
      <c r="QG34"/>
      <c r="QH34"/>
      <c r="RB34" s="336">
        <f>ROW()</f>
        <v>34</v>
      </c>
      <c r="RC34" s="329" t="s">
        <v>987</v>
      </c>
      <c r="RD34" s="329"/>
      <c r="RE34" s="362"/>
      <c r="RF34" s="362"/>
      <c r="RG34" s="362">
        <v>-2136606366.3511758</v>
      </c>
      <c r="RH34" s="362">
        <v>-87066192.781679153</v>
      </c>
      <c r="RI34" s="362">
        <f>RG34+RH34</f>
        <v>-2223672559.1328549</v>
      </c>
      <c r="RJ34" s="362">
        <v>-192199558.02446508</v>
      </c>
      <c r="RK34" s="362">
        <f>RI34+RJ34</f>
        <v>-2415872117.15732</v>
      </c>
      <c r="RL34" s="362">
        <v>-130226967.27970982</v>
      </c>
      <c r="RM34" s="362">
        <f>RK34+RL34</f>
        <v>-2546099084.4370298</v>
      </c>
      <c r="RN34" s="362">
        <v>-255077277.02818441</v>
      </c>
      <c r="RO34" s="362">
        <f>RM34+RN34</f>
        <v>-2801176361.4652143</v>
      </c>
      <c r="RP34" s="362"/>
      <c r="RQ34" s="362"/>
      <c r="RR34" s="362"/>
      <c r="RS34" s="362"/>
      <c r="RT34" s="345">
        <f>ROW()</f>
        <v>34</v>
      </c>
      <c r="RU34" s="329" t="s">
        <v>911</v>
      </c>
      <c r="RV34" s="241"/>
      <c r="RW34" s="367"/>
      <c r="RX34" s="367"/>
      <c r="RY34" s="367"/>
      <c r="RZ34" s="367">
        <v>0</v>
      </c>
      <c r="SA34" s="367">
        <v>0</v>
      </c>
      <c r="SB34" s="367">
        <v>0</v>
      </c>
      <c r="SC34" s="367">
        <v>0</v>
      </c>
      <c r="SD34" s="367">
        <v>0</v>
      </c>
      <c r="SE34" s="367">
        <v>0</v>
      </c>
      <c r="SF34" s="367">
        <v>0</v>
      </c>
      <c r="SG34" s="367">
        <v>0</v>
      </c>
      <c r="SH34" s="367"/>
      <c r="SI34" s="367"/>
      <c r="SJ34" s="367"/>
      <c r="SK34" s="367"/>
      <c r="SL34" s="336">
        <f>ROW()</f>
        <v>34</v>
      </c>
      <c r="SM34" s="329" t="s">
        <v>964</v>
      </c>
      <c r="SN34" s="338"/>
      <c r="SO34" s="361"/>
      <c r="SP34" s="361"/>
      <c r="SQ34" s="361"/>
      <c r="SR34" s="361">
        <v>403751.6999999999</v>
      </c>
      <c r="SS34" s="362">
        <f>SR34</f>
        <v>403751.6999999999</v>
      </c>
      <c r="ST34" s="361">
        <v>2788911.22</v>
      </c>
      <c r="SU34" s="362">
        <f>ST34+SS34</f>
        <v>3192662.92</v>
      </c>
      <c r="SV34" s="362">
        <v>4652973.419999999</v>
      </c>
      <c r="SW34" s="362">
        <f>SV34+SU34</f>
        <v>7845636.3399999989</v>
      </c>
      <c r="SX34" s="362">
        <v>2294484.3099999977</v>
      </c>
      <c r="SY34" s="362">
        <f>SX34+SW34</f>
        <v>10140120.649999997</v>
      </c>
      <c r="SZ34" s="362"/>
      <c r="TA34" s="362"/>
      <c r="TB34" s="576"/>
      <c r="TC34" s="576"/>
      <c r="TE34" s="336">
        <f>ROW()</f>
        <v>34</v>
      </c>
      <c r="TK34"/>
      <c r="TL34"/>
      <c r="TM34"/>
      <c r="TN34"/>
      <c r="TO34"/>
      <c r="TP34"/>
      <c r="TQ34"/>
      <c r="TR34"/>
      <c r="TS34"/>
      <c r="TT34"/>
      <c r="TU34"/>
      <c r="TV34"/>
      <c r="TW34"/>
      <c r="TX34" s="336">
        <f>ROW()</f>
        <v>34</v>
      </c>
      <c r="TY34" s="154" t="s">
        <v>828</v>
      </c>
      <c r="TZ34" s="129"/>
      <c r="UA34" s="410">
        <f>SUM(UA27:UA33)</f>
        <v>-2155587.5129999965</v>
      </c>
      <c r="UB34" s="177">
        <f>SUM(UB27:UB33)</f>
        <v>2155587.5129999965</v>
      </c>
      <c r="UC34" s="129"/>
      <c r="UD34" s="129"/>
      <c r="UE34" s="129"/>
      <c r="UF34" s="129"/>
      <c r="UG34" s="129"/>
      <c r="UH34" s="129"/>
      <c r="UI34" s="129"/>
      <c r="UJ34" s="129"/>
      <c r="UK34" s="129"/>
      <c r="UL34" s="129"/>
      <c r="UM34" s="129"/>
      <c r="UN34" s="129"/>
      <c r="UO34" s="129"/>
    </row>
    <row r="35" spans="1:561" ht="15" thickBot="1" x14ac:dyDescent="0.4">
      <c r="A35" s="111">
        <f>ROW()</f>
        <v>35</v>
      </c>
      <c r="B35" s="1324" t="s">
        <v>1908</v>
      </c>
      <c r="C35" s="397"/>
      <c r="D35" s="1192"/>
      <c r="E35" s="1192"/>
      <c r="F35" s="1194"/>
      <c r="G35" s="1195"/>
      <c r="H35" s="1194"/>
      <c r="I35" s="1321">
        <f>'GAS COS Revenues'!$D$64</f>
        <v>202019</v>
      </c>
      <c r="J35" s="1322"/>
      <c r="K35" s="1321">
        <f>'GAS COS Revenues'!$D$68</f>
        <v>-3604266</v>
      </c>
      <c r="L35" s="1323"/>
      <c r="M35" s="1321">
        <f>'GAS COS Revenues'!$D$72</f>
        <v>-486743</v>
      </c>
      <c r="N35" s="728"/>
      <c r="O35" s="189"/>
      <c r="P35" s="728"/>
      <c r="Q35" s="189"/>
      <c r="R35" s="728"/>
      <c r="S35" s="111">
        <f>ROW()</f>
        <v>35</v>
      </c>
      <c r="T35" s="237" t="s">
        <v>286</v>
      </c>
      <c r="U35" s="239"/>
      <c r="V35" s="239"/>
      <c r="W35" s="134"/>
      <c r="AK35" s="111"/>
      <c r="AL35"/>
      <c r="AM35"/>
      <c r="AN35"/>
      <c r="AO35"/>
      <c r="AP35"/>
      <c r="AQ35"/>
      <c r="AR35"/>
      <c r="AS35"/>
      <c r="AT35"/>
      <c r="AU35" s="121"/>
      <c r="AV35" s="121"/>
      <c r="AW35" s="121"/>
      <c r="AX35" s="121"/>
      <c r="AY35" s="121"/>
      <c r="AZ35" s="121"/>
      <c r="BA35" s="121"/>
      <c r="BB35" s="121"/>
      <c r="BD35"/>
      <c r="BE35"/>
      <c r="BF35"/>
      <c r="BG35"/>
      <c r="BH35"/>
      <c r="BI35"/>
      <c r="BJ35"/>
      <c r="BK35"/>
      <c r="BL35"/>
      <c r="BM35"/>
      <c r="BN35"/>
      <c r="BO35"/>
      <c r="BP35"/>
      <c r="BQ35"/>
      <c r="BR35"/>
      <c r="BS35"/>
      <c r="BT35"/>
      <c r="BV35"/>
      <c r="BW35"/>
      <c r="BX35"/>
      <c r="BY35"/>
      <c r="BZ35"/>
      <c r="CA35"/>
      <c r="CB35"/>
      <c r="DE35" s="1"/>
      <c r="DF35" s="1"/>
      <c r="DG35" s="1"/>
      <c r="DH35" s="1"/>
      <c r="DI35" s="1"/>
      <c r="DJ35" s="1"/>
      <c r="DK35" s="1"/>
      <c r="DL35" s="1"/>
      <c r="GB35" s="134"/>
      <c r="GC35" s="134"/>
      <c r="GD35" s="134"/>
      <c r="GE35" s="134"/>
      <c r="GF35" s="134"/>
      <c r="GG35" s="134"/>
      <c r="GH35" s="134"/>
      <c r="GI35" s="134"/>
      <c r="GJ35" s="134"/>
      <c r="GK35" s="134"/>
      <c r="GL35" s="134"/>
      <c r="GM35" s="134"/>
      <c r="GN35" s="134"/>
      <c r="GO35" s="134"/>
      <c r="GP35" s="134"/>
      <c r="GQ35" s="111">
        <f>ROW()</f>
        <v>35</v>
      </c>
      <c r="GR35" s="112"/>
      <c r="GS35" s="112"/>
      <c r="GT35" s="414"/>
      <c r="GU35" s="414"/>
      <c r="GV35" s="414"/>
      <c r="GW35" s="414"/>
      <c r="GX35" s="414"/>
      <c r="GY35" s="414"/>
      <c r="GZ35" s="414"/>
      <c r="HA35" s="414"/>
      <c r="HB35" s="414"/>
      <c r="HC35" s="414"/>
      <c r="HD35" s="414"/>
      <c r="HE35" s="414"/>
      <c r="HF35" s="414"/>
      <c r="HG35" s="414"/>
      <c r="HH35" s="414"/>
      <c r="IS35"/>
      <c r="IT35"/>
      <c r="IU35"/>
      <c r="IV35"/>
      <c r="IW35"/>
      <c r="IX35"/>
      <c r="IY35"/>
      <c r="IZ35"/>
      <c r="JK35"/>
      <c r="JL35"/>
      <c r="JM35"/>
      <c r="JN35"/>
      <c r="JO35"/>
      <c r="JP35"/>
      <c r="JQ35"/>
      <c r="JR35"/>
      <c r="JS35"/>
      <c r="JT35"/>
      <c r="JU35"/>
      <c r="JV35"/>
      <c r="JW35"/>
      <c r="JX35"/>
      <c r="JY35"/>
      <c r="JZ35"/>
      <c r="KA35"/>
      <c r="KB35"/>
      <c r="LP35" s="329"/>
      <c r="LQ35" s="329"/>
      <c r="LR35" s="329"/>
      <c r="LS35" s="329"/>
      <c r="LT35" s="329"/>
      <c r="LU35" s="329"/>
      <c r="LV35" s="329"/>
      <c r="LW35" s="329"/>
      <c r="LX35" s="329"/>
      <c r="LY35" s="329"/>
      <c r="LZ35" s="329"/>
      <c r="MA35" s="329"/>
      <c r="MB35" s="329"/>
      <c r="MC35" s="329"/>
      <c r="MD35" s="329"/>
      <c r="ME35" s="111">
        <f>ROW()</f>
        <v>35</v>
      </c>
      <c r="MF35" s="117" t="s">
        <v>287</v>
      </c>
      <c r="MH35" s="121">
        <f>-MH29</f>
        <v>40779323.936791621</v>
      </c>
      <c r="MI35" s="121">
        <f>-MI29</f>
        <v>1814067.8939472267</v>
      </c>
      <c r="MJ35" s="121">
        <f>MH35+MI35</f>
        <v>42593391.83073885</v>
      </c>
      <c r="MK35" s="121"/>
      <c r="ML35" s="121">
        <f>MK35+MJ35</f>
        <v>42593391.83073885</v>
      </c>
      <c r="MM35" s="121"/>
      <c r="MN35" s="121">
        <f>MM35+ML35</f>
        <v>42593391.83073885</v>
      </c>
      <c r="MO35" s="121"/>
      <c r="MP35" s="121">
        <f>MO35+MN35</f>
        <v>42593391.83073885</v>
      </c>
      <c r="MQ35" s="121"/>
      <c r="MR35" s="121">
        <f>MQ35+MP35</f>
        <v>42593391.83073885</v>
      </c>
      <c r="MS35" s="121"/>
      <c r="MT35" s="121"/>
      <c r="MU35" s="121"/>
      <c r="MV35" s="121"/>
      <c r="MW35" s="111"/>
      <c r="NP35" s="397"/>
      <c r="OC35" s="864"/>
      <c r="OD35" s="864"/>
      <c r="OE35" s="864"/>
      <c r="OF35" s="864"/>
      <c r="OG35" s="111">
        <f>ROW()</f>
        <v>35</v>
      </c>
      <c r="OH35" s="1" t="s">
        <v>224</v>
      </c>
      <c r="OJ35" s="383">
        <f>-OJ32-OJ34</f>
        <v>-2295831.8296000003</v>
      </c>
      <c r="OK35" s="383">
        <f t="shared" ref="OK35:ON35" si="188">-OK32-OK34</f>
        <v>0</v>
      </c>
      <c r="OL35" s="383">
        <f t="shared" si="188"/>
        <v>-2295831.8296000003</v>
      </c>
      <c r="OM35" s="383">
        <f t="shared" si="188"/>
        <v>2295831.8296000003</v>
      </c>
      <c r="ON35" s="383">
        <f t="shared" si="188"/>
        <v>0</v>
      </c>
      <c r="OO35" s="383"/>
      <c r="OP35" s="383"/>
      <c r="OQ35" s="383"/>
      <c r="OR35" s="383"/>
      <c r="OS35" s="383"/>
      <c r="OT35" s="383"/>
      <c r="OU35" s="372"/>
      <c r="OV35" s="372"/>
      <c r="OW35" s="372"/>
      <c r="OX35" s="372"/>
      <c r="OY35" s="111">
        <f>ROW()</f>
        <v>35</v>
      </c>
      <c r="OZ35" s="112" t="s">
        <v>261</v>
      </c>
      <c r="PA35" s="112"/>
      <c r="PB35" s="792">
        <f t="shared" ref="PB35:PP35" si="189">PB21+PB27+PB33</f>
        <v>89825208.871648416</v>
      </c>
      <c r="PC35" s="792">
        <f t="shared" si="189"/>
        <v>-57834387.276298791</v>
      </c>
      <c r="PD35" s="792">
        <f t="shared" si="189"/>
        <v>31990821.595349636</v>
      </c>
      <c r="PE35" s="792">
        <f t="shared" si="189"/>
        <v>57834387.276298791</v>
      </c>
      <c r="PF35" s="793">
        <f t="shared" si="189"/>
        <v>89825208.871648416</v>
      </c>
      <c r="PG35" s="793">
        <f t="shared" si="189"/>
        <v>0</v>
      </c>
      <c r="PH35" s="793">
        <f t="shared" si="189"/>
        <v>89825208.871648416</v>
      </c>
      <c r="PI35" s="794">
        <f t="shared" si="189"/>
        <v>0</v>
      </c>
      <c r="PJ35" s="794">
        <f t="shared" si="189"/>
        <v>89825208.871648416</v>
      </c>
      <c r="PK35" s="794">
        <f t="shared" si="189"/>
        <v>0</v>
      </c>
      <c r="PL35" s="794">
        <f t="shared" si="189"/>
        <v>89825208.871648416</v>
      </c>
      <c r="PM35" s="597"/>
      <c r="PN35" s="597"/>
      <c r="PO35" s="596">
        <f t="shared" si="189"/>
        <v>0</v>
      </c>
      <c r="PP35" s="596">
        <f t="shared" si="189"/>
        <v>0</v>
      </c>
      <c r="PQ35"/>
      <c r="PR35"/>
      <c r="PS35"/>
      <c r="PT35"/>
      <c r="PU35"/>
      <c r="PV35"/>
      <c r="PW35"/>
      <c r="PX35"/>
      <c r="PY35"/>
      <c r="PZ35"/>
      <c r="QA35"/>
      <c r="QB35"/>
      <c r="QC35"/>
      <c r="QD35"/>
      <c r="QE35"/>
      <c r="QF35"/>
      <c r="QG35"/>
      <c r="QH35"/>
      <c r="RB35" s="336">
        <f>ROW()</f>
        <v>35</v>
      </c>
      <c r="RC35" s="329" t="s">
        <v>287</v>
      </c>
      <c r="RD35" s="329"/>
      <c r="RE35" s="340"/>
      <c r="RF35" s="340"/>
      <c r="RG35" s="355">
        <v>-593826321.05103397</v>
      </c>
      <c r="RH35" s="368">
        <v>5244350.714984417</v>
      </c>
      <c r="RI35" s="355">
        <f>RH35+RG35</f>
        <v>-588581970.33604956</v>
      </c>
      <c r="RJ35" s="368">
        <v>19287721.371335626</v>
      </c>
      <c r="RK35" s="355">
        <f>RJ35+RI35</f>
        <v>-569294248.96471393</v>
      </c>
      <c r="RL35" s="368">
        <v>19575460.00133574</v>
      </c>
      <c r="RM35" s="355">
        <f>RL35+RK35</f>
        <v>-549718788.96337819</v>
      </c>
      <c r="RN35" s="368">
        <v>42934633.668347955</v>
      </c>
      <c r="RO35" s="355">
        <f>RN35+RM35</f>
        <v>-506784155.29503024</v>
      </c>
      <c r="RP35" s="355"/>
      <c r="RQ35" s="355"/>
      <c r="RR35" s="368"/>
      <c r="RS35" s="355"/>
      <c r="RT35" s="345">
        <f>ROW()</f>
        <v>35</v>
      </c>
      <c r="RU35" s="329" t="s">
        <v>289</v>
      </c>
      <c r="RV35" s="241"/>
      <c r="RW35" s="321"/>
      <c r="RX35" s="321"/>
      <c r="RY35" s="321">
        <f t="shared" ref="RY35:SG35" si="190">SUM(RY32:RY34)</f>
        <v>0</v>
      </c>
      <c r="RZ35" s="321">
        <f t="shared" si="190"/>
        <v>42632.08</v>
      </c>
      <c r="SA35" s="321">
        <f t="shared" si="190"/>
        <v>42632.08</v>
      </c>
      <c r="SB35" s="321">
        <f t="shared" si="190"/>
        <v>297280.34000000003</v>
      </c>
      <c r="SC35" s="321">
        <f t="shared" si="190"/>
        <v>339912.42000000004</v>
      </c>
      <c r="SD35" s="321">
        <f t="shared" si="190"/>
        <v>424163.73</v>
      </c>
      <c r="SE35" s="321">
        <f t="shared" si="190"/>
        <v>764076.15</v>
      </c>
      <c r="SF35" s="321">
        <f t="shared" si="190"/>
        <v>1154341.1600000001</v>
      </c>
      <c r="SG35" s="321">
        <f t="shared" si="190"/>
        <v>1918417.31</v>
      </c>
      <c r="SH35" s="321"/>
      <c r="SI35" s="321"/>
      <c r="SJ35" s="321"/>
      <c r="SK35" s="321"/>
      <c r="SL35" s="336">
        <f>ROW()</f>
        <v>35</v>
      </c>
      <c r="SM35" s="329" t="s">
        <v>963</v>
      </c>
      <c r="SN35" s="338"/>
      <c r="SO35" s="265"/>
      <c r="SP35" s="265"/>
      <c r="SQ35" s="265"/>
      <c r="SR35" s="265">
        <v>0</v>
      </c>
      <c r="SS35" s="356">
        <f>SR35</f>
        <v>0</v>
      </c>
      <c r="ST35" s="265">
        <v>0</v>
      </c>
      <c r="SU35" s="356">
        <f>ST35+SS35</f>
        <v>0</v>
      </c>
      <c r="SV35" s="525">
        <v>0</v>
      </c>
      <c r="SW35" s="525">
        <f>SV35+SU35</f>
        <v>0</v>
      </c>
      <c r="SX35" s="525">
        <v>0</v>
      </c>
      <c r="SY35" s="525">
        <f>SX35+SW35</f>
        <v>0</v>
      </c>
      <c r="SZ35" s="525"/>
      <c r="TA35" s="525"/>
      <c r="TB35" s="525"/>
      <c r="TC35" s="525"/>
      <c r="TE35" s="336">
        <f>ROW()</f>
        <v>35</v>
      </c>
      <c r="TK35"/>
      <c r="TL35"/>
      <c r="TM35"/>
      <c r="TN35"/>
      <c r="TO35"/>
      <c r="TP35"/>
      <c r="TQ35"/>
      <c r="TR35"/>
      <c r="TS35"/>
      <c r="TT35"/>
      <c r="TU35"/>
      <c r="TV35"/>
      <c r="TW35"/>
      <c r="TX35" s="336">
        <f>ROW()</f>
        <v>35</v>
      </c>
      <c r="TY35" s="117"/>
      <c r="UA35" s="121"/>
      <c r="UB35" s="121"/>
      <c r="UC35" s="121"/>
      <c r="UD35" s="121"/>
      <c r="UE35" s="121"/>
      <c r="UF35" s="121"/>
      <c r="UG35" s="121"/>
      <c r="UH35" s="121"/>
      <c r="UI35" s="121"/>
      <c r="UJ35" s="121"/>
      <c r="UK35" s="121"/>
      <c r="UL35" s="121"/>
      <c r="UM35" s="121"/>
      <c r="UN35" s="121"/>
      <c r="UO35" s="121"/>
    </row>
    <row r="36" spans="1:561" ht="15.5" thickTop="1" thickBot="1" x14ac:dyDescent="0.4">
      <c r="A36" s="111">
        <f>ROW()</f>
        <v>36</v>
      </c>
      <c r="D36" s="241"/>
      <c r="E36" s="241"/>
      <c r="F36" s="241"/>
      <c r="G36" s="241"/>
      <c r="H36" s="1189"/>
      <c r="I36" s="241"/>
      <c r="J36" s="1191"/>
      <c r="K36" s="241"/>
      <c r="L36" s="1144"/>
      <c r="M36" s="241"/>
      <c r="S36" s="111">
        <f>ROW()</f>
        <v>36</v>
      </c>
      <c r="T36" s="238" t="s">
        <v>252</v>
      </c>
      <c r="U36" s="1199">
        <f>+'Def, COC, ConvF DPK-7 '!$P$12</f>
        <v>2.8909999999999999E-3</v>
      </c>
      <c r="V36" s="121">
        <f t="shared" ref="V36:W38" si="191">SUM(V$17:V$22,V$24,V$28:V$32)*$U36</f>
        <v>2072558.6235161237</v>
      </c>
      <c r="W36" s="121">
        <f t="shared" si="191"/>
        <v>-2072558.6235161237</v>
      </c>
      <c r="X36" s="121">
        <f t="shared" ref="X36:AF38" si="192">SUM(X$17:X$21,X$28:X$32)*$U36</f>
        <v>0</v>
      </c>
      <c r="Y36" s="121">
        <f t="shared" si="192"/>
        <v>0</v>
      </c>
      <c r="Z36" s="121">
        <f t="shared" si="192"/>
        <v>0</v>
      </c>
      <c r="AA36" s="121">
        <f t="shared" si="192"/>
        <v>0</v>
      </c>
      <c r="AB36" s="121">
        <f t="shared" si="192"/>
        <v>0</v>
      </c>
      <c r="AC36" s="121">
        <f t="shared" si="192"/>
        <v>0</v>
      </c>
      <c r="AD36" s="121">
        <f t="shared" si="192"/>
        <v>0</v>
      </c>
      <c r="AE36" s="121">
        <f t="shared" si="192"/>
        <v>0</v>
      </c>
      <c r="AF36" s="121">
        <f t="shared" si="192"/>
        <v>0</v>
      </c>
      <c r="AG36" s="121"/>
      <c r="AH36" s="121"/>
      <c r="AI36" s="121"/>
      <c r="AJ36" s="121"/>
      <c r="AK36" s="111"/>
      <c r="AL36"/>
      <c r="AM36"/>
      <c r="AN36"/>
      <c r="AO36"/>
      <c r="AP36"/>
      <c r="AQ36"/>
      <c r="AR36"/>
      <c r="AS36"/>
      <c r="AT36"/>
      <c r="AU36" s="114"/>
      <c r="AV36" s="114"/>
      <c r="AW36" s="114"/>
      <c r="AX36" s="114"/>
      <c r="AY36" s="114"/>
      <c r="AZ36" s="114"/>
      <c r="BA36" s="114"/>
      <c r="BB36" s="114"/>
      <c r="BD36"/>
      <c r="BE36"/>
      <c r="BF36"/>
      <c r="BG36"/>
      <c r="BH36"/>
      <c r="BI36"/>
      <c r="BJ36"/>
      <c r="BK36"/>
      <c r="BL36"/>
      <c r="BM36"/>
      <c r="BN36"/>
      <c r="BO36"/>
      <c r="BP36"/>
      <c r="BQ36"/>
      <c r="BR36"/>
      <c r="BS36"/>
      <c r="BT36"/>
      <c r="BV36"/>
      <c r="BW36"/>
      <c r="BX36"/>
      <c r="BY36"/>
      <c r="BZ36"/>
      <c r="CA36"/>
      <c r="CB36"/>
      <c r="DE36" s="1"/>
      <c r="DF36" s="1"/>
      <c r="DG36" s="1"/>
      <c r="DH36" s="1"/>
      <c r="DI36" s="1"/>
      <c r="DJ36" s="1"/>
      <c r="DK36" s="1"/>
      <c r="DL36" s="1"/>
      <c r="GQ36" s="111">
        <f>ROW()</f>
        <v>36</v>
      </c>
      <c r="GR36" s="112" t="s">
        <v>224</v>
      </c>
      <c r="GS36" s="112"/>
      <c r="GT36" s="382">
        <f t="shared" ref="GT36:HD36" si="193">-GT32-GT34</f>
        <v>-2848541.8760658158</v>
      </c>
      <c r="GU36" s="382">
        <f t="shared" si="193"/>
        <v>-151116.36784572125</v>
      </c>
      <c r="GV36" s="382">
        <f t="shared" si="193"/>
        <v>-2999658.2439115373</v>
      </c>
      <c r="GW36" s="382">
        <f t="shared" si="193"/>
        <v>0</v>
      </c>
      <c r="GX36" s="382">
        <f t="shared" si="193"/>
        <v>-2999658.2439115373</v>
      </c>
      <c r="GY36" s="382">
        <f t="shared" si="193"/>
        <v>0</v>
      </c>
      <c r="GZ36" s="382">
        <f t="shared" si="193"/>
        <v>-2999658.2439115373</v>
      </c>
      <c r="HA36" s="382">
        <f t="shared" si="193"/>
        <v>0</v>
      </c>
      <c r="HB36" s="382">
        <f t="shared" si="193"/>
        <v>-2999658.2439115373</v>
      </c>
      <c r="HC36" s="382">
        <f t="shared" si="193"/>
        <v>0</v>
      </c>
      <c r="HD36" s="382">
        <f t="shared" si="193"/>
        <v>-2999658.2439115373</v>
      </c>
      <c r="HE36" s="382">
        <f t="shared" ref="HE36:HH36" si="194">-HE32-HE34</f>
        <v>0</v>
      </c>
      <c r="HF36" s="382">
        <f t="shared" si="194"/>
        <v>0</v>
      </c>
      <c r="HG36" s="382">
        <f t="shared" si="194"/>
        <v>0</v>
      </c>
      <c r="HH36" s="382">
        <f t="shared" si="194"/>
        <v>0</v>
      </c>
      <c r="IS36"/>
      <c r="IT36"/>
      <c r="IU36"/>
      <c r="IV36"/>
      <c r="IW36"/>
      <c r="IX36"/>
      <c r="IY36"/>
      <c r="IZ36"/>
      <c r="JK36"/>
      <c r="JL36"/>
      <c r="JM36"/>
      <c r="JN36"/>
      <c r="JO36"/>
      <c r="JP36"/>
      <c r="JQ36"/>
      <c r="JR36"/>
      <c r="JS36"/>
      <c r="JT36"/>
      <c r="JU36"/>
      <c r="JV36"/>
      <c r="JW36"/>
      <c r="JX36"/>
      <c r="JY36"/>
      <c r="JZ36"/>
      <c r="KA36"/>
      <c r="KB36"/>
      <c r="LP36" s="329"/>
      <c r="LQ36" s="329"/>
      <c r="LR36" s="329"/>
      <c r="LS36" s="329"/>
      <c r="LT36" s="329"/>
      <c r="LU36" s="329"/>
      <c r="LV36" s="329"/>
      <c r="LW36" s="329"/>
      <c r="LX36" s="329"/>
      <c r="LY36" s="329"/>
      <c r="LZ36" s="329"/>
      <c r="MA36" s="329"/>
      <c r="MB36" s="329"/>
      <c r="MC36" s="329"/>
      <c r="MD36" s="329"/>
      <c r="ME36" s="111"/>
      <c r="MF36" s="117" t="s">
        <v>289</v>
      </c>
      <c r="MH36" s="384">
        <f t="shared" ref="MH36:MR36" si="195">SUM(MH34:MH35)</f>
        <v>-153407932.90507326</v>
      </c>
      <c r="MI36" s="384">
        <f t="shared" si="195"/>
        <v>-6824350.6486586146</v>
      </c>
      <c r="MJ36" s="384">
        <f t="shared" si="195"/>
        <v>-160232283.55373186</v>
      </c>
      <c r="MK36" s="384">
        <f t="shared" si="195"/>
        <v>0</v>
      </c>
      <c r="ML36" s="384">
        <f t="shared" si="195"/>
        <v>-160232283.55373186</v>
      </c>
      <c r="MM36" s="384">
        <f t="shared" si="195"/>
        <v>0</v>
      </c>
      <c r="MN36" s="384">
        <f t="shared" si="195"/>
        <v>-160232283.55373186</v>
      </c>
      <c r="MO36" s="384">
        <f t="shared" si="195"/>
        <v>0</v>
      </c>
      <c r="MP36" s="384">
        <f t="shared" si="195"/>
        <v>-160232283.55373186</v>
      </c>
      <c r="MQ36" s="384">
        <f t="shared" si="195"/>
        <v>0</v>
      </c>
      <c r="MR36" s="384">
        <f t="shared" si="195"/>
        <v>-160232283.55373186</v>
      </c>
      <c r="MS36" s="384"/>
      <c r="MT36" s="384"/>
      <c r="MU36" s="384"/>
      <c r="MV36" s="384"/>
      <c r="MW36" s="111"/>
      <c r="NP36" s="397"/>
      <c r="OC36" s="864"/>
      <c r="OD36" s="864"/>
      <c r="OE36" s="864"/>
      <c r="OF36" s="864"/>
      <c r="OG36" s="111">
        <f>ROW()</f>
        <v>36</v>
      </c>
      <c r="OJ36" s="329"/>
      <c r="OK36" s="329"/>
      <c r="OL36" s="329"/>
      <c r="OM36" s="329"/>
      <c r="ON36" s="329"/>
      <c r="OO36" s="329"/>
      <c r="OP36" s="329"/>
      <c r="OQ36" s="329"/>
      <c r="OR36" s="329"/>
      <c r="OS36" s="329"/>
      <c r="OT36" s="329"/>
      <c r="OU36" s="439"/>
      <c r="OV36" s="439"/>
      <c r="OW36" s="439"/>
      <c r="OX36" s="439"/>
      <c r="OY36" s="111">
        <f>ROW()</f>
        <v>36</v>
      </c>
      <c r="OZ36" s="235"/>
      <c r="PA36" s="235"/>
      <c r="PB36" s="589"/>
      <c r="PC36" s="589"/>
      <c r="PD36" s="589"/>
      <c r="PE36" s="589"/>
      <c r="PF36" s="589"/>
      <c r="PG36" s="589"/>
      <c r="PH36" s="589"/>
      <c r="PI36" s="589"/>
      <c r="PJ36" s="589"/>
      <c r="PK36" s="589"/>
      <c r="PL36" s="589"/>
      <c r="PM36" s="589"/>
      <c r="PN36" s="589"/>
      <c r="PO36" s="121"/>
      <c r="PP36" s="121"/>
      <c r="PQ36"/>
      <c r="PR36"/>
      <c r="PS36"/>
      <c r="PT36"/>
      <c r="PU36"/>
      <c r="PV36"/>
      <c r="PW36"/>
      <c r="PX36"/>
      <c r="PY36"/>
      <c r="PZ36"/>
      <c r="QA36"/>
      <c r="QB36"/>
      <c r="QC36"/>
      <c r="QD36"/>
      <c r="QE36"/>
      <c r="QF36"/>
      <c r="QG36"/>
      <c r="QH36"/>
      <c r="RB36" s="336">
        <f>ROW()</f>
        <v>36</v>
      </c>
      <c r="RC36" s="329" t="s">
        <v>289</v>
      </c>
      <c r="RD36" s="343"/>
      <c r="RE36" s="362"/>
      <c r="RF36" s="362"/>
      <c r="RG36" s="362">
        <f t="shared" ref="RG36:RO36" si="196">SUM(RG33:RG35)</f>
        <v>-2730432687.4022098</v>
      </c>
      <c r="RH36" s="362">
        <f t="shared" si="196"/>
        <v>-81821842.066694736</v>
      </c>
      <c r="RI36" s="362">
        <f t="shared" si="196"/>
        <v>-2812254529.4689045</v>
      </c>
      <c r="RJ36" s="362">
        <f t="shared" si="196"/>
        <v>-172911836.65312946</v>
      </c>
      <c r="RK36" s="362">
        <f t="shared" si="196"/>
        <v>-2985166366.1220341</v>
      </c>
      <c r="RL36" s="362">
        <f t="shared" si="196"/>
        <v>-110651507.27837408</v>
      </c>
      <c r="RM36" s="362">
        <f t="shared" si="196"/>
        <v>-3095817873.4004078</v>
      </c>
      <c r="RN36" s="362">
        <f t="shared" si="196"/>
        <v>-212142643.35983646</v>
      </c>
      <c r="RO36" s="362">
        <f t="shared" si="196"/>
        <v>-3307960516.7602444</v>
      </c>
      <c r="RP36" s="362"/>
      <c r="RQ36" s="362"/>
      <c r="RR36" s="362"/>
      <c r="RS36" s="362"/>
      <c r="RT36" s="329"/>
      <c r="RU36" s="329"/>
      <c r="RV36" s="329"/>
      <c r="RW36" s="329"/>
      <c r="RX36" s="329"/>
      <c r="RY36" s="1"/>
      <c r="RZ36" s="1"/>
      <c r="SA36" s="1"/>
      <c r="SB36" s="1"/>
      <c r="SC36" s="1"/>
      <c r="SD36" s="1"/>
      <c r="SE36" s="1"/>
      <c r="SF36" s="1"/>
      <c r="SG36" s="1"/>
      <c r="SH36" s="1"/>
      <c r="SI36" s="1"/>
      <c r="SJ36" s="1"/>
      <c r="SK36" s="1"/>
      <c r="SL36" s="336">
        <f>ROW()</f>
        <v>36</v>
      </c>
      <c r="SM36" s="329" t="s">
        <v>962</v>
      </c>
      <c r="SN36" s="338"/>
      <c r="SO36" s="265"/>
      <c r="SP36" s="265"/>
      <c r="SQ36" s="265"/>
      <c r="SR36" s="265">
        <v>0</v>
      </c>
      <c r="SS36" s="356">
        <f>SR36</f>
        <v>0</v>
      </c>
      <c r="ST36" s="265">
        <v>0</v>
      </c>
      <c r="SU36" s="356">
        <f>ST36+SS36</f>
        <v>0</v>
      </c>
      <c r="SV36" s="525">
        <v>0</v>
      </c>
      <c r="SW36" s="525">
        <f>SV36+SU36</f>
        <v>0</v>
      </c>
      <c r="SX36" s="525">
        <v>0</v>
      </c>
      <c r="SY36" s="525">
        <f>SX36+SW36</f>
        <v>0</v>
      </c>
      <c r="SZ36" s="525"/>
      <c r="TA36" s="525"/>
      <c r="TB36" s="525"/>
      <c r="TC36" s="525"/>
      <c r="TE36" s="336">
        <f>ROW()</f>
        <v>36</v>
      </c>
      <c r="TK36"/>
      <c r="TL36"/>
      <c r="TM36"/>
      <c r="TN36"/>
      <c r="TO36"/>
      <c r="TP36"/>
      <c r="TQ36"/>
      <c r="TR36"/>
      <c r="TS36"/>
      <c r="TT36"/>
      <c r="TU36"/>
      <c r="TV36"/>
      <c r="TW36"/>
      <c r="TX36" s="336">
        <f>ROW()</f>
        <v>36</v>
      </c>
      <c r="TY36" s="117" t="s">
        <v>238</v>
      </c>
      <c r="UA36" s="358">
        <f>+UA19-UA24-UA34</f>
        <v>2155587.5129999965</v>
      </c>
      <c r="UB36" s="121">
        <f>+UB19-UB24-UB34</f>
        <v>-2155587.5129999965</v>
      </c>
      <c r="UC36" s="121"/>
      <c r="UD36" s="121"/>
      <c r="UE36" s="121"/>
      <c r="UF36" s="121"/>
      <c r="UG36" s="121"/>
      <c r="UH36" s="121"/>
      <c r="UI36" s="121"/>
      <c r="UJ36" s="121"/>
      <c r="UK36" s="121"/>
      <c r="UL36" s="121"/>
      <c r="UM36" s="121"/>
      <c r="UN36" s="121"/>
      <c r="UO36" s="121"/>
    </row>
    <row r="37" spans="1:561" ht="15" thickTop="1" x14ac:dyDescent="0.35">
      <c r="A37" s="111">
        <f>ROW()</f>
        <v>37</v>
      </c>
      <c r="B37" s="163" t="s">
        <v>273</v>
      </c>
      <c r="D37" s="607">
        <f t="shared" ref="D37:R37" si="197">SUM(D16:D36)</f>
        <v>0</v>
      </c>
      <c r="E37" s="891">
        <f t="shared" si="197"/>
        <v>42653066.143237561</v>
      </c>
      <c r="F37" s="607">
        <f t="shared" si="197"/>
        <v>0</v>
      </c>
      <c r="G37" s="891">
        <f t="shared" si="197"/>
        <v>-57533887.225894623</v>
      </c>
      <c r="H37" s="607">
        <f t="shared" si="197"/>
        <v>0</v>
      </c>
      <c r="I37" s="891">
        <f t="shared" si="197"/>
        <v>202019</v>
      </c>
      <c r="J37" s="607">
        <f t="shared" si="197"/>
        <v>0</v>
      </c>
      <c r="K37" s="891">
        <f t="shared" si="197"/>
        <v>-3604266</v>
      </c>
      <c r="L37" s="607">
        <f t="shared" si="197"/>
        <v>0</v>
      </c>
      <c r="M37" s="891">
        <f t="shared" si="197"/>
        <v>-486743</v>
      </c>
      <c r="N37" s="607">
        <f t="shared" si="197"/>
        <v>0</v>
      </c>
      <c r="O37" s="607">
        <f t="shared" si="197"/>
        <v>0</v>
      </c>
      <c r="P37" s="607">
        <f t="shared" si="197"/>
        <v>0</v>
      </c>
      <c r="Q37" s="607">
        <f t="shared" si="197"/>
        <v>0</v>
      </c>
      <c r="R37" s="607">
        <f t="shared" si="197"/>
        <v>0</v>
      </c>
      <c r="S37" s="111">
        <f>ROW()</f>
        <v>37</v>
      </c>
      <c r="T37" s="193" t="s">
        <v>179</v>
      </c>
      <c r="U37" s="1199">
        <f>+'Def, COC, ConvF DPK-7 '!$P$13</f>
        <v>4.0000000000000001E-3</v>
      </c>
      <c r="V37" s="121">
        <f t="shared" si="191"/>
        <v>2867601.0010600123</v>
      </c>
      <c r="W37" s="121">
        <f t="shared" si="191"/>
        <v>-2867601.0010600123</v>
      </c>
      <c r="X37" s="121">
        <f t="shared" si="192"/>
        <v>0</v>
      </c>
      <c r="Y37" s="121">
        <f t="shared" si="192"/>
        <v>0</v>
      </c>
      <c r="Z37" s="121">
        <f t="shared" si="192"/>
        <v>0</v>
      </c>
      <c r="AA37" s="121">
        <f t="shared" si="192"/>
        <v>0</v>
      </c>
      <c r="AB37" s="121">
        <f t="shared" si="192"/>
        <v>0</v>
      </c>
      <c r="AC37" s="121">
        <f t="shared" si="192"/>
        <v>0</v>
      </c>
      <c r="AD37" s="121">
        <f t="shared" si="192"/>
        <v>0</v>
      </c>
      <c r="AE37" s="121">
        <f t="shared" si="192"/>
        <v>0</v>
      </c>
      <c r="AF37" s="121">
        <f t="shared" si="192"/>
        <v>0</v>
      </c>
      <c r="AG37" s="121"/>
      <c r="AH37" s="121"/>
      <c r="AI37" s="121"/>
      <c r="AJ37" s="121"/>
      <c r="AL37"/>
      <c r="AM37"/>
      <c r="AN37"/>
      <c r="AO37"/>
      <c r="AP37"/>
      <c r="AQ37"/>
      <c r="AR37"/>
      <c r="AS37"/>
      <c r="AT37"/>
      <c r="AU37" s="121"/>
      <c r="AV37" s="121"/>
      <c r="AW37" s="121"/>
      <c r="AX37" s="121"/>
      <c r="AY37" s="121"/>
      <c r="AZ37" s="121"/>
      <c r="BA37" s="121"/>
      <c r="BB37" s="121"/>
      <c r="BD37"/>
      <c r="BE37"/>
      <c r="BF37"/>
      <c r="BG37"/>
      <c r="BH37"/>
      <c r="BI37"/>
      <c r="BJ37"/>
      <c r="BK37"/>
      <c r="BL37"/>
      <c r="BM37"/>
      <c r="BN37"/>
      <c r="BO37"/>
      <c r="BP37"/>
      <c r="BQ37"/>
      <c r="BR37"/>
      <c r="BS37"/>
      <c r="BT37"/>
      <c r="BV37"/>
      <c r="BW37"/>
      <c r="BX37"/>
      <c r="BY37"/>
      <c r="BZ37"/>
      <c r="CA37"/>
      <c r="CB37"/>
      <c r="DE37" s="1"/>
      <c r="DF37" s="1"/>
      <c r="DG37" s="1"/>
      <c r="DH37" s="1"/>
      <c r="DI37" s="1"/>
      <c r="DJ37" s="1"/>
      <c r="DK37" s="1"/>
      <c r="DL37" s="1"/>
      <c r="IS37"/>
      <c r="IT37"/>
      <c r="IU37"/>
      <c r="IV37"/>
      <c r="IW37"/>
      <c r="IX37"/>
      <c r="IY37"/>
      <c r="IZ37"/>
      <c r="JK37"/>
      <c r="JL37"/>
      <c r="JM37"/>
      <c r="JN37"/>
      <c r="JO37"/>
      <c r="JP37"/>
      <c r="JQ37"/>
      <c r="JR37"/>
      <c r="JS37"/>
      <c r="JT37"/>
      <c r="JU37"/>
      <c r="JV37"/>
      <c r="JW37"/>
      <c r="JX37"/>
      <c r="JY37"/>
      <c r="JZ37"/>
      <c r="KA37"/>
      <c r="KB37"/>
      <c r="LP37" s="329"/>
      <c r="LQ37" s="329"/>
      <c r="LR37" s="329"/>
      <c r="LS37" s="329"/>
      <c r="LT37" s="329"/>
      <c r="LU37" s="329"/>
      <c r="LV37" s="329"/>
      <c r="LW37" s="329"/>
      <c r="LX37" s="329"/>
      <c r="LY37" s="329"/>
      <c r="LZ37" s="329"/>
      <c r="MA37" s="329"/>
      <c r="MB37" s="329"/>
      <c r="MC37" s="329"/>
      <c r="MD37" s="329"/>
      <c r="MH37"/>
      <c r="MJ37"/>
      <c r="MK37"/>
      <c r="ML37"/>
      <c r="MM37"/>
      <c r="MW37" s="111"/>
      <c r="NP37" s="397"/>
      <c r="OC37" s="864"/>
      <c r="OD37" s="864"/>
      <c r="OE37" s="864"/>
      <c r="OF37" s="864"/>
      <c r="OG37" s="111">
        <f>ROW()</f>
        <v>37</v>
      </c>
      <c r="OH37" s="115"/>
      <c r="OJ37" s="329"/>
      <c r="OK37" s="329"/>
      <c r="OL37" s="329"/>
      <c r="OM37" s="329"/>
      <c r="ON37" s="329"/>
      <c r="OO37" s="329"/>
      <c r="OP37" s="329"/>
      <c r="OQ37" s="329"/>
      <c r="OR37" s="329"/>
      <c r="OS37" s="329"/>
      <c r="OT37" s="329"/>
      <c r="OU37" s="134"/>
      <c r="OV37" s="134"/>
      <c r="OW37" s="134"/>
      <c r="OX37" s="134"/>
      <c r="OY37" s="111">
        <f>ROW()</f>
        <v>37</v>
      </c>
      <c r="OZ37" s="594" t="s">
        <v>1111</v>
      </c>
      <c r="PA37" s="594"/>
      <c r="PB37" s="593"/>
      <c r="PC37" s="593"/>
      <c r="PD37" s="593"/>
      <c r="PE37" s="593"/>
      <c r="PF37" s="593"/>
      <c r="PG37" s="593"/>
      <c r="PH37" s="593"/>
      <c r="PI37" s="593"/>
      <c r="PJ37" s="593"/>
      <c r="PK37" s="593"/>
      <c r="PL37" s="593"/>
      <c r="PM37" s="593"/>
      <c r="PN37" s="593"/>
      <c r="PO37"/>
      <c r="PP37"/>
      <c r="PQ37"/>
      <c r="PR37"/>
      <c r="PS37"/>
      <c r="PT37"/>
      <c r="PU37"/>
      <c r="PV37"/>
      <c r="PW37"/>
      <c r="PX37"/>
      <c r="PY37"/>
      <c r="PZ37"/>
      <c r="QA37"/>
      <c r="QB37"/>
      <c r="QC37"/>
      <c r="QD37"/>
      <c r="QE37"/>
      <c r="QF37"/>
      <c r="QG37"/>
      <c r="QH37"/>
      <c r="RT37" s="329"/>
      <c r="RU37" s="329"/>
      <c r="RV37" s="329"/>
      <c r="RW37" s="329"/>
      <c r="RX37" s="329"/>
      <c r="RY37" s="1"/>
      <c r="RZ37" s="1"/>
      <c r="SA37" s="1"/>
      <c r="SB37" s="1"/>
      <c r="SC37" s="1"/>
      <c r="SD37" s="1"/>
      <c r="SE37" s="1"/>
      <c r="SF37" s="1"/>
      <c r="SG37" s="1"/>
      <c r="SH37" s="1"/>
      <c r="SI37" s="1"/>
      <c r="SJ37" s="1"/>
      <c r="SK37" s="1"/>
      <c r="SL37" s="336">
        <f>ROW()</f>
        <v>37</v>
      </c>
      <c r="SM37" s="329" t="s">
        <v>961</v>
      </c>
      <c r="SN37" s="338"/>
      <c r="SO37" s="368"/>
      <c r="SP37" s="368"/>
      <c r="SQ37" s="368"/>
      <c r="SR37" s="368">
        <v>0</v>
      </c>
      <c r="SS37" s="355">
        <f>SR37</f>
        <v>0</v>
      </c>
      <c r="ST37" s="368">
        <v>0</v>
      </c>
      <c r="SU37" s="355">
        <f>ST37+SS37</f>
        <v>0</v>
      </c>
      <c r="SV37" s="575">
        <v>0</v>
      </c>
      <c r="SW37" s="575">
        <f>SV37+SU37</f>
        <v>0</v>
      </c>
      <c r="SX37" s="575">
        <v>0</v>
      </c>
      <c r="SY37" s="575">
        <f>SX37+SW37</f>
        <v>0</v>
      </c>
      <c r="SZ37" s="575"/>
      <c r="TA37" s="575"/>
      <c r="TB37" s="575"/>
      <c r="TC37" s="575"/>
      <c r="TE37" s="336">
        <f>ROW()</f>
        <v>37</v>
      </c>
      <c r="TG37" s="329"/>
      <c r="TH37" s="329"/>
      <c r="TI37" s="329"/>
      <c r="TJ37" s="329"/>
      <c r="TK37" s="329"/>
      <c r="TL37" s="329"/>
      <c r="TM37" s="329"/>
      <c r="TN37" s="329"/>
      <c r="TO37" s="329"/>
      <c r="TP37" s="329"/>
      <c r="TQ37" s="329"/>
      <c r="TR37" s="329"/>
      <c r="TS37" s="329"/>
      <c r="TT37" s="329"/>
      <c r="TU37" s="329"/>
      <c r="TV37" s="329"/>
      <c r="TW37"/>
      <c r="TX37" s="336">
        <f>ROW()</f>
        <v>37</v>
      </c>
      <c r="TY37" s="117" t="s">
        <v>249</v>
      </c>
      <c r="TZ37" s="763">
        <f>FIT</f>
        <v>0.21</v>
      </c>
      <c r="UA37" s="358">
        <f>$TZ$37*UA36</f>
        <v>452673.37772999925</v>
      </c>
      <c r="UB37" s="358">
        <f>UB36*TZ37</f>
        <v>-452673.37772999925</v>
      </c>
      <c r="UC37" s="358"/>
      <c r="UD37" s="121"/>
      <c r="UE37" s="358"/>
      <c r="UF37" s="121"/>
      <c r="UG37" s="358"/>
      <c r="UH37" s="121"/>
      <c r="UI37" s="358"/>
      <c r="UJ37" s="121"/>
      <c r="UK37" s="358"/>
      <c r="UL37" s="121"/>
      <c r="UM37" s="358"/>
      <c r="UN37" s="121"/>
      <c r="UO37" s="121"/>
    </row>
    <row r="38" spans="1:561" ht="15" thickBot="1" x14ac:dyDescent="0.4">
      <c r="A38" s="111">
        <f>ROW()</f>
        <v>38</v>
      </c>
      <c r="B38" s="163"/>
      <c r="D38" s="189"/>
      <c r="E38" s="189"/>
      <c r="F38" s="189"/>
      <c r="G38" s="189"/>
      <c r="H38" s="189"/>
      <c r="I38" s="189"/>
      <c r="K38" s="189"/>
      <c r="L38" s="127"/>
      <c r="M38" s="189"/>
      <c r="N38" s="189"/>
      <c r="O38" s="189"/>
      <c r="P38" s="189"/>
      <c r="Q38" s="189"/>
      <c r="R38" s="189"/>
      <c r="S38" s="111">
        <f>ROW()</f>
        <v>38</v>
      </c>
      <c r="T38" s="599" t="s">
        <v>292</v>
      </c>
      <c r="U38" s="1200">
        <f>+'Def, COC, ConvF DPK-7 '!$P$14</f>
        <v>3.8408999999999999E-2</v>
      </c>
      <c r="V38" s="121">
        <f t="shared" si="191"/>
        <v>27535421.712428503</v>
      </c>
      <c r="W38" s="121">
        <f t="shared" si="191"/>
        <v>-27535421.712428503</v>
      </c>
      <c r="X38" s="121">
        <f t="shared" si="192"/>
        <v>0</v>
      </c>
      <c r="Y38" s="121">
        <f t="shared" si="192"/>
        <v>0</v>
      </c>
      <c r="Z38" s="121">
        <f t="shared" si="192"/>
        <v>0</v>
      </c>
      <c r="AA38" s="121">
        <f t="shared" si="192"/>
        <v>0</v>
      </c>
      <c r="AB38" s="121">
        <f t="shared" si="192"/>
        <v>0</v>
      </c>
      <c r="AC38" s="121">
        <f t="shared" si="192"/>
        <v>0</v>
      </c>
      <c r="AD38" s="121">
        <f t="shared" si="192"/>
        <v>0</v>
      </c>
      <c r="AE38" s="121">
        <f t="shared" si="192"/>
        <v>0</v>
      </c>
      <c r="AF38" s="121">
        <f t="shared" si="192"/>
        <v>0</v>
      </c>
      <c r="AG38" s="121"/>
      <c r="AH38" s="121"/>
      <c r="AI38" s="121"/>
      <c r="AJ38" s="121"/>
      <c r="AL38"/>
      <c r="AM38"/>
      <c r="AN38"/>
      <c r="AO38"/>
      <c r="AP38"/>
      <c r="AQ38"/>
      <c r="AR38"/>
      <c r="AS38"/>
      <c r="AT38"/>
      <c r="AU38"/>
      <c r="AV38"/>
      <c r="AW38"/>
      <c r="AX38"/>
      <c r="AY38"/>
      <c r="AZ38"/>
      <c r="BA38"/>
      <c r="BB38"/>
      <c r="BD38"/>
      <c r="BE38"/>
      <c r="BF38"/>
      <c r="BG38"/>
      <c r="BH38"/>
      <c r="BI38"/>
      <c r="BJ38"/>
      <c r="BK38"/>
      <c r="BL38"/>
      <c r="BM38"/>
      <c r="BN38"/>
      <c r="BO38"/>
      <c r="BP38"/>
      <c r="BQ38"/>
      <c r="BR38"/>
      <c r="BS38"/>
      <c r="BT38"/>
      <c r="BV38"/>
      <c r="BW38"/>
      <c r="BX38"/>
      <c r="BY38"/>
      <c r="BZ38"/>
      <c r="CA38"/>
      <c r="CB38"/>
      <c r="DE38" s="1"/>
      <c r="DF38" s="1"/>
      <c r="DG38" s="1"/>
      <c r="DH38" s="1"/>
      <c r="DI38" s="1"/>
      <c r="DJ38" s="1"/>
      <c r="DK38" s="1"/>
      <c r="DL38" s="1"/>
      <c r="IS38"/>
      <c r="IT38"/>
      <c r="IU38"/>
      <c r="IV38"/>
      <c r="IW38"/>
      <c r="IX38"/>
      <c r="IY38"/>
      <c r="IZ38"/>
      <c r="JK38"/>
      <c r="JL38"/>
      <c r="JM38"/>
      <c r="JN38"/>
      <c r="JO38"/>
      <c r="JP38"/>
      <c r="JQ38"/>
      <c r="JR38"/>
      <c r="JS38"/>
      <c r="JT38"/>
      <c r="JU38"/>
      <c r="JV38"/>
      <c r="JW38"/>
      <c r="JX38"/>
      <c r="JY38"/>
      <c r="JZ38"/>
      <c r="KA38"/>
      <c r="KB38"/>
      <c r="LP38" s="329"/>
      <c r="LQ38" s="329"/>
      <c r="LR38" s="329"/>
      <c r="LS38" s="329"/>
      <c r="LT38" s="329"/>
      <c r="LU38" s="329"/>
      <c r="LV38" s="329"/>
      <c r="LW38" s="329"/>
      <c r="LX38" s="329"/>
      <c r="LY38" s="329"/>
      <c r="LZ38" s="329"/>
      <c r="MA38" s="329"/>
      <c r="MB38" s="329"/>
      <c r="MC38" s="329"/>
      <c r="MD38" s="329"/>
      <c r="MW38" s="111"/>
      <c r="NP38" s="397"/>
      <c r="OC38" s="864"/>
      <c r="OD38" s="864"/>
      <c r="OE38" s="864"/>
      <c r="OF38" s="864"/>
      <c r="OG38" s="111">
        <f>ROW()</f>
        <v>38</v>
      </c>
      <c r="OJ38" s="329"/>
      <c r="OK38" s="329"/>
      <c r="OL38" s="329"/>
      <c r="OM38" s="329"/>
      <c r="ON38" s="329"/>
      <c r="OO38" s="329"/>
      <c r="OP38" s="329"/>
      <c r="OQ38" s="329"/>
      <c r="OR38" s="329"/>
      <c r="OS38" s="329"/>
      <c r="OT38" s="329"/>
      <c r="OU38" s="134"/>
      <c r="OV38" s="134"/>
      <c r="OW38" s="134"/>
      <c r="OX38" s="134"/>
      <c r="OY38" s="111">
        <f>ROW()</f>
        <v>38</v>
      </c>
      <c r="OZ38" s="409" t="s">
        <v>1112</v>
      </c>
      <c r="PA38" s="408"/>
      <c r="PB38" s="121">
        <v>3844168.62</v>
      </c>
      <c r="PC38" s="114">
        <v>-3844168.62</v>
      </c>
      <c r="PD38" s="121">
        <f t="shared" ref="PD38" si="198">SUM(PB38:PC38)</f>
        <v>0</v>
      </c>
      <c r="PE38" s="787">
        <v>0</v>
      </c>
      <c r="PF38" s="405">
        <f t="shared" ref="PF38" si="199">SUM(PD38:PE38)</f>
        <v>0</v>
      </c>
      <c r="PG38" s="787">
        <v>0</v>
      </c>
      <c r="PH38" s="405">
        <f t="shared" ref="PH38" si="200">SUM(PF38:PG38)</f>
        <v>0</v>
      </c>
      <c r="PI38" s="787">
        <v>0</v>
      </c>
      <c r="PJ38" s="419">
        <f t="shared" ref="PJ38" si="201">SUM(PH38:PI38)</f>
        <v>0</v>
      </c>
      <c r="PK38" s="787">
        <v>0</v>
      </c>
      <c r="PL38" s="419">
        <f t="shared" ref="PL38" si="202">SUM(PJ38:PK38)</f>
        <v>0</v>
      </c>
      <c r="PM38" s="771"/>
      <c r="PN38" s="770"/>
      <c r="PO38" s="405"/>
      <c r="PP38" s="405"/>
      <c r="PQ38"/>
      <c r="PR38"/>
      <c r="PS38"/>
      <c r="PT38"/>
      <c r="PU38"/>
      <c r="PV38"/>
      <c r="PW38"/>
      <c r="PX38"/>
      <c r="PY38"/>
      <c r="PZ38"/>
      <c r="QA38"/>
      <c r="QB38"/>
      <c r="QC38"/>
      <c r="QD38"/>
      <c r="QE38"/>
      <c r="QF38"/>
      <c r="QG38"/>
      <c r="QH38"/>
      <c r="RT38" s="329"/>
      <c r="RU38" s="329"/>
      <c r="RV38" s="329"/>
      <c r="RW38" s="329"/>
      <c r="RX38" s="329"/>
      <c r="RY38" s="1"/>
      <c r="RZ38" s="1"/>
      <c r="SA38" s="1"/>
      <c r="SB38" s="1"/>
      <c r="SC38" s="1"/>
      <c r="SD38" s="1"/>
      <c r="SE38" s="1"/>
      <c r="SF38" s="1"/>
      <c r="SG38" s="1"/>
      <c r="SH38" s="1"/>
      <c r="SI38" s="1"/>
      <c r="SJ38" s="1"/>
      <c r="SK38" s="1"/>
      <c r="SL38" s="336">
        <f>ROW()</f>
        <v>38</v>
      </c>
      <c r="SM38" s="329" t="s">
        <v>871</v>
      </c>
      <c r="SN38" s="338"/>
      <c r="SO38" s="356"/>
      <c r="SP38" s="356"/>
      <c r="SQ38" s="356"/>
      <c r="SR38" s="356">
        <f t="shared" ref="SR38:SY38" si="203">SUM(SR34:SR37)</f>
        <v>403751.6999999999</v>
      </c>
      <c r="SS38" s="356">
        <f t="shared" si="203"/>
        <v>403751.6999999999</v>
      </c>
      <c r="ST38" s="356">
        <f t="shared" si="203"/>
        <v>2788911.22</v>
      </c>
      <c r="SU38" s="356">
        <f t="shared" si="203"/>
        <v>3192662.92</v>
      </c>
      <c r="SV38" s="356">
        <f t="shared" si="203"/>
        <v>4652973.419999999</v>
      </c>
      <c r="SW38" s="356">
        <f t="shared" si="203"/>
        <v>7845636.3399999989</v>
      </c>
      <c r="SX38" s="356">
        <f t="shared" si="203"/>
        <v>2294484.3099999977</v>
      </c>
      <c r="SY38" s="356">
        <f t="shared" si="203"/>
        <v>10140120.649999997</v>
      </c>
      <c r="SZ38" s="356"/>
      <c r="TA38" s="356"/>
      <c r="TB38" s="525"/>
      <c r="TC38" s="525"/>
      <c r="TE38" s="336">
        <f>ROW()</f>
        <v>38</v>
      </c>
      <c r="TG38" s="329"/>
      <c r="TH38" s="329"/>
      <c r="TI38" s="329"/>
      <c r="TJ38" s="329"/>
      <c r="TK38" s="329"/>
      <c r="TL38" s="329"/>
      <c r="TM38" s="329"/>
      <c r="TN38" s="329"/>
      <c r="TO38" s="329"/>
      <c r="TP38" s="329"/>
      <c r="TQ38" s="329"/>
      <c r="TR38" s="329"/>
      <c r="TS38" s="329"/>
      <c r="TT38" s="329"/>
      <c r="TU38" s="329"/>
      <c r="TV38" s="329"/>
      <c r="TW38"/>
      <c r="TX38" s="336">
        <f>ROW()</f>
        <v>38</v>
      </c>
      <c r="TY38" s="384" t="s">
        <v>254</v>
      </c>
      <c r="TZ38" s="384"/>
      <c r="UA38" s="767">
        <f>UA36-UA37</f>
        <v>1702914.1352699972</v>
      </c>
      <c r="UB38" s="767">
        <f>UB36-UB37</f>
        <v>-1702914.1352699972</v>
      </c>
      <c r="UC38" s="384"/>
      <c r="UD38" s="384"/>
      <c r="UE38" s="384"/>
      <c r="UF38" s="384"/>
      <c r="UG38" s="384"/>
      <c r="UH38" s="384"/>
      <c r="UI38" s="384"/>
      <c r="UJ38" s="384"/>
      <c r="UK38" s="384"/>
      <c r="UL38" s="384"/>
      <c r="UM38" s="384"/>
      <c r="UN38" s="384"/>
      <c r="UO38" s="384"/>
    </row>
    <row r="39" spans="1:561" ht="16.5" customHeight="1" thickTop="1" x14ac:dyDescent="0.35">
      <c r="A39" s="111">
        <f>ROW()</f>
        <v>39</v>
      </c>
      <c r="B39" s="586" t="s">
        <v>51</v>
      </c>
      <c r="D39" s="189"/>
      <c r="E39" s="1193"/>
      <c r="F39" s="1193"/>
      <c r="G39" s="1193"/>
      <c r="H39" s="241"/>
      <c r="I39" s="189"/>
      <c r="J39" s="113"/>
      <c r="K39" s="189"/>
      <c r="L39" s="127"/>
      <c r="M39" s="189"/>
      <c r="N39" s="189"/>
      <c r="O39" s="189"/>
      <c r="P39" s="189"/>
      <c r="Q39" s="189"/>
      <c r="R39" s="189"/>
      <c r="S39" s="111">
        <f>ROW()</f>
        <v>39</v>
      </c>
      <c r="T39" s="193" t="s">
        <v>288</v>
      </c>
      <c r="U39" s="598"/>
      <c r="V39" s="429">
        <f t="shared" ref="V39:AF39" si="204">SUM(V36:V38)</f>
        <v>32475581.337004639</v>
      </c>
      <c r="W39" s="429">
        <f t="shared" si="204"/>
        <v>-32475581.337004639</v>
      </c>
      <c r="X39" s="429">
        <f t="shared" si="204"/>
        <v>0</v>
      </c>
      <c r="Y39" s="429">
        <f t="shared" si="204"/>
        <v>0</v>
      </c>
      <c r="Z39" s="429">
        <f t="shared" si="204"/>
        <v>0</v>
      </c>
      <c r="AA39" s="429">
        <f t="shared" si="204"/>
        <v>0</v>
      </c>
      <c r="AB39" s="429">
        <f t="shared" si="204"/>
        <v>0</v>
      </c>
      <c r="AC39" s="429">
        <f t="shared" si="204"/>
        <v>0</v>
      </c>
      <c r="AD39" s="429">
        <f t="shared" si="204"/>
        <v>0</v>
      </c>
      <c r="AE39" s="429">
        <f t="shared" si="204"/>
        <v>0</v>
      </c>
      <c r="AF39" s="429">
        <f t="shared" si="204"/>
        <v>0</v>
      </c>
      <c r="AG39" s="429"/>
      <c r="AH39" s="429"/>
      <c r="AI39" s="429"/>
      <c r="AJ39" s="429"/>
      <c r="AL39"/>
      <c r="AM39"/>
      <c r="AN39"/>
      <c r="AO39"/>
      <c r="AP39"/>
      <c r="AQ39"/>
      <c r="AR39"/>
      <c r="AS39"/>
      <c r="AT39"/>
      <c r="AU39"/>
      <c r="AV39"/>
      <c r="AW39"/>
      <c r="AX39"/>
      <c r="AY39"/>
      <c r="AZ39"/>
      <c r="BA39"/>
      <c r="BB39"/>
      <c r="BD39"/>
      <c r="BE39"/>
      <c r="BF39"/>
      <c r="BG39"/>
      <c r="BH39"/>
      <c r="BI39"/>
      <c r="BJ39"/>
      <c r="BK39"/>
      <c r="BL39"/>
      <c r="BM39"/>
      <c r="BN39"/>
      <c r="BO39"/>
      <c r="BP39"/>
      <c r="BQ39"/>
      <c r="BR39"/>
      <c r="BS39"/>
      <c r="BT39"/>
      <c r="BV39"/>
      <c r="BW39"/>
      <c r="BX39"/>
      <c r="BY39"/>
      <c r="BZ39"/>
      <c r="CA39"/>
      <c r="CB39"/>
      <c r="DE39" s="1"/>
      <c r="DF39" s="1"/>
      <c r="DG39" s="1"/>
      <c r="DH39" s="1"/>
      <c r="DI39" s="1"/>
      <c r="DJ39" s="1"/>
      <c r="DK39" s="1"/>
      <c r="DL39" s="1"/>
      <c r="IS39"/>
      <c r="IT39"/>
      <c r="IU39"/>
      <c r="IV39"/>
      <c r="IW39"/>
      <c r="IX39"/>
      <c r="IY39"/>
      <c r="IZ39"/>
      <c r="JK39"/>
      <c r="JL39"/>
      <c r="JM39"/>
      <c r="JN39"/>
      <c r="JO39"/>
      <c r="JP39"/>
      <c r="JQ39"/>
      <c r="JR39"/>
      <c r="JS39"/>
      <c r="JT39"/>
      <c r="JU39"/>
      <c r="JV39"/>
      <c r="JW39"/>
      <c r="JX39"/>
      <c r="JY39"/>
      <c r="JZ39"/>
      <c r="KA39"/>
      <c r="KB39"/>
      <c r="LP39" s="329"/>
      <c r="LQ39" s="329"/>
      <c r="LR39" s="329"/>
      <c r="LS39" s="329"/>
      <c r="LT39" s="329"/>
      <c r="LU39" s="329"/>
      <c r="LV39" s="329"/>
      <c r="LW39" s="329"/>
      <c r="LX39" s="329"/>
      <c r="LY39" s="329"/>
      <c r="LZ39" s="329"/>
      <c r="MA39" s="329"/>
      <c r="MB39" s="329"/>
      <c r="MC39" s="329"/>
      <c r="MD39" s="329"/>
      <c r="MW39" s="111"/>
      <c r="NP39" s="397"/>
      <c r="OC39" s="864"/>
      <c r="OD39" s="864"/>
      <c r="OE39" s="864"/>
      <c r="OF39" s="864"/>
      <c r="OG39" s="111">
        <f>ROW()</f>
        <v>39</v>
      </c>
      <c r="OJ39" s="329"/>
      <c r="OK39" s="329"/>
      <c r="OL39" s="329"/>
      <c r="OM39" s="329"/>
      <c r="ON39" s="329"/>
      <c r="OO39" s="329"/>
      <c r="OP39" s="329"/>
      <c r="OQ39" s="329"/>
      <c r="OR39" s="329"/>
      <c r="OS39" s="329"/>
      <c r="OT39" s="329"/>
      <c r="OU39" s="379"/>
      <c r="OV39" s="379"/>
      <c r="OW39" s="379"/>
      <c r="OX39" s="379"/>
      <c r="OY39" s="111">
        <f>ROW()</f>
        <v>39</v>
      </c>
      <c r="OZ39" s="768"/>
      <c r="PA39" s="266"/>
      <c r="PB39" s="779"/>
      <c r="PC39" s="779"/>
      <c r="PD39" s="780"/>
      <c r="PE39" s="780"/>
      <c r="PF39" s="780"/>
      <c r="PG39" s="780"/>
      <c r="PH39" s="780"/>
      <c r="PI39" s="780"/>
      <c r="PJ39" s="780">
        <f>SUM(PH39:PI39)</f>
        <v>0</v>
      </c>
      <c r="PK39" s="780"/>
      <c r="PL39" s="772">
        <f>SUM(PJ39:PK39)</f>
        <v>0</v>
      </c>
      <c r="PM39" s="772"/>
      <c r="PN39" s="772"/>
      <c r="PO39" s="114"/>
      <c r="PP39" s="114"/>
      <c r="PQ39"/>
      <c r="PR39"/>
      <c r="PS39"/>
      <c r="PT39"/>
      <c r="PU39"/>
      <c r="PV39"/>
      <c r="PW39"/>
      <c r="PX39"/>
      <c r="PY39"/>
      <c r="PZ39"/>
      <c r="QA39"/>
      <c r="QB39"/>
      <c r="QC39"/>
      <c r="QD39"/>
      <c r="QE39"/>
      <c r="QF39"/>
      <c r="QG39"/>
      <c r="QH39"/>
      <c r="RT39" s="329"/>
      <c r="RU39" s="329"/>
      <c r="RV39" s="329"/>
      <c r="RW39" s="329"/>
      <c r="RX39" s="329"/>
      <c r="RY39" s="1"/>
      <c r="RZ39" s="1"/>
      <c r="SA39" s="1"/>
      <c r="SB39" s="1"/>
      <c r="SC39" s="1"/>
      <c r="SD39" s="1"/>
      <c r="SE39" s="1"/>
      <c r="SF39" s="1"/>
      <c r="SG39" s="1"/>
      <c r="SH39" s="1"/>
      <c r="SI39" s="1"/>
      <c r="SJ39" s="1"/>
      <c r="SK39" s="1"/>
      <c r="SL39" s="336">
        <f>ROW()</f>
        <v>39</v>
      </c>
      <c r="SM39" s="329"/>
      <c r="SN39" s="338"/>
      <c r="SO39" s="356"/>
      <c r="SP39" s="356"/>
      <c r="SQ39" s="356"/>
      <c r="SR39" s="356"/>
      <c r="SS39" s="356"/>
      <c r="ST39" s="356"/>
      <c r="SU39" s="356"/>
      <c r="SV39" s="356"/>
      <c r="SW39" s="356"/>
      <c r="SX39" s="356"/>
      <c r="SY39" s="356"/>
      <c r="SZ39" s="356"/>
      <c r="TA39" s="356"/>
      <c r="TB39" s="525"/>
      <c r="TC39" s="525"/>
      <c r="TE39" s="336">
        <f>ROW()</f>
        <v>39</v>
      </c>
      <c r="TG39" s="329"/>
      <c r="TH39" s="329"/>
      <c r="TI39" s="329"/>
      <c r="TJ39" s="329"/>
      <c r="TK39" s="329"/>
      <c r="TL39" s="329"/>
      <c r="TM39" s="329"/>
      <c r="TN39" s="329"/>
      <c r="TO39" s="329"/>
      <c r="TP39" s="329"/>
      <c r="TQ39" s="329"/>
      <c r="TR39" s="329"/>
      <c r="TS39" s="329"/>
      <c r="TT39" s="329"/>
      <c r="TU39" s="329"/>
      <c r="TV39" s="329"/>
      <c r="TW39"/>
      <c r="TX39" s="336">
        <f>ROW()</f>
        <v>39</v>
      </c>
    </row>
    <row r="40" spans="1:561" ht="15" thickBot="1" x14ac:dyDescent="0.4">
      <c r="A40" s="111">
        <f>ROW()</f>
        <v>40</v>
      </c>
      <c r="B40" s="232"/>
      <c r="D40" s="120"/>
      <c r="E40" s="245"/>
      <c r="F40" s="1189"/>
      <c r="G40" s="245"/>
      <c r="H40" s="1189"/>
      <c r="I40" s="189"/>
      <c r="J40" s="113"/>
      <c r="K40" s="189"/>
      <c r="L40" s="127"/>
      <c r="M40" s="189"/>
      <c r="N40" s="189"/>
      <c r="O40" s="189"/>
      <c r="P40" s="189"/>
      <c r="Q40" s="189"/>
      <c r="R40" s="189"/>
      <c r="S40" s="111">
        <f>ROW()</f>
        <v>40</v>
      </c>
      <c r="W40" s="134"/>
      <c r="AL40"/>
      <c r="AM40"/>
      <c r="AN40"/>
      <c r="AO40"/>
      <c r="AP40"/>
      <c r="AQ40"/>
      <c r="AR40"/>
      <c r="AS40"/>
      <c r="AT40"/>
      <c r="AU40"/>
      <c r="AV40"/>
      <c r="AW40"/>
      <c r="AX40"/>
      <c r="AY40"/>
      <c r="AZ40"/>
      <c r="BA40"/>
      <c r="BB40"/>
      <c r="BD40"/>
      <c r="BE40"/>
      <c r="BF40"/>
      <c r="BG40"/>
      <c r="BH40"/>
      <c r="BI40"/>
      <c r="BJ40"/>
      <c r="BK40"/>
      <c r="BL40"/>
      <c r="BM40"/>
      <c r="BN40"/>
      <c r="BO40"/>
      <c r="BP40"/>
      <c r="BQ40"/>
      <c r="BR40"/>
      <c r="BS40"/>
      <c r="BT40"/>
      <c r="BV40"/>
      <c r="BW40"/>
      <c r="BX40"/>
      <c r="BY40"/>
      <c r="BZ40"/>
      <c r="CA40"/>
      <c r="CB40"/>
      <c r="DE40" s="1"/>
      <c r="DF40" s="1"/>
      <c r="DG40" s="1"/>
      <c r="DH40" s="1"/>
      <c r="DI40" s="1"/>
      <c r="DJ40" s="1"/>
      <c r="DK40" s="1"/>
      <c r="DL40" s="1"/>
      <c r="IS40"/>
      <c r="IT40"/>
      <c r="IU40"/>
      <c r="IV40"/>
      <c r="IW40"/>
      <c r="IX40"/>
      <c r="IY40"/>
      <c r="IZ40"/>
      <c r="JK40"/>
      <c r="JL40"/>
      <c r="JM40"/>
      <c r="JN40"/>
      <c r="JO40"/>
      <c r="JP40"/>
      <c r="JQ40"/>
      <c r="JR40"/>
      <c r="JS40"/>
      <c r="JT40"/>
      <c r="JU40"/>
      <c r="JV40"/>
      <c r="JW40"/>
      <c r="JX40"/>
      <c r="JY40"/>
      <c r="JZ40"/>
      <c r="KA40"/>
      <c r="KB40"/>
      <c r="KU40" s="3"/>
      <c r="LP40" s="329"/>
      <c r="LQ40" s="329"/>
      <c r="LR40" s="329"/>
      <c r="LS40" s="329"/>
      <c r="LT40" s="329"/>
      <c r="LU40" s="329"/>
      <c r="LV40" s="329"/>
      <c r="LW40" s="329"/>
      <c r="LX40" s="329"/>
      <c r="LY40" s="329"/>
      <c r="LZ40" s="329"/>
      <c r="MA40" s="329"/>
      <c r="MB40" s="329"/>
      <c r="MC40" s="329"/>
      <c r="MD40" s="329"/>
      <c r="MW40" s="111"/>
      <c r="NP40" s="397"/>
      <c r="OC40" s="864"/>
      <c r="OD40" s="864"/>
      <c r="OE40" s="864"/>
      <c r="OF40" s="864"/>
      <c r="OG40" s="111">
        <f>ROW()</f>
        <v>40</v>
      </c>
      <c r="OJ40" s="329"/>
      <c r="OK40" s="329"/>
      <c r="OL40" s="329"/>
      <c r="OM40" s="329"/>
      <c r="ON40" s="329"/>
      <c r="OO40" s="329"/>
      <c r="OP40" s="329"/>
      <c r="OQ40" s="329"/>
      <c r="OR40" s="329"/>
      <c r="OS40" s="329"/>
      <c r="OT40" s="329"/>
      <c r="OU40" s="383"/>
      <c r="OV40" s="383"/>
      <c r="OW40" s="383"/>
      <c r="OX40" s="383"/>
      <c r="OY40" s="111">
        <f>ROW()</f>
        <v>40</v>
      </c>
      <c r="OZ40" s="237" t="s">
        <v>1569</v>
      </c>
      <c r="PA40" s="237"/>
      <c r="PB40" s="239"/>
      <c r="PC40" s="121"/>
      <c r="PD40" s="121"/>
      <c r="PE40" s="121"/>
      <c r="PM40" s="773"/>
      <c r="PN40" s="773"/>
      <c r="PO40" s="121"/>
      <c r="PP40" s="121"/>
      <c r="PQ40"/>
      <c r="PR40"/>
      <c r="PS40"/>
      <c r="PT40"/>
      <c r="PU40"/>
      <c r="PV40"/>
      <c r="PW40"/>
      <c r="PX40"/>
      <c r="PY40"/>
      <c r="PZ40"/>
      <c r="QA40"/>
      <c r="QB40"/>
      <c r="QC40"/>
      <c r="QD40"/>
      <c r="QE40" s="118"/>
      <c r="QF40" s="118"/>
      <c r="QG40" s="118"/>
      <c r="QH40" s="118"/>
      <c r="RT40" s="329"/>
      <c r="RU40" s="329"/>
      <c r="RV40" s="329"/>
      <c r="RW40" s="329"/>
      <c r="RX40" s="329"/>
      <c r="RY40" s="1"/>
      <c r="RZ40" s="1"/>
      <c r="SA40" s="1"/>
      <c r="SB40" s="1"/>
      <c r="SC40" s="1"/>
      <c r="SD40" s="1"/>
      <c r="SE40" s="1"/>
      <c r="SF40" s="1"/>
      <c r="SG40" s="1"/>
      <c r="SH40" s="1"/>
      <c r="SI40" s="1"/>
      <c r="SJ40" s="1"/>
      <c r="SK40" s="1"/>
      <c r="SL40" s="336">
        <f>ROW()</f>
        <v>40</v>
      </c>
      <c r="SM40" s="329" t="s">
        <v>274</v>
      </c>
      <c r="SN40" s="338"/>
      <c r="SO40" s="356"/>
      <c r="SP40" s="356"/>
      <c r="SQ40" s="356"/>
      <c r="SR40" s="356">
        <f t="shared" ref="SR40:SY40" si="205">SR38</f>
        <v>403751.6999999999</v>
      </c>
      <c r="SS40" s="356">
        <f t="shared" si="205"/>
        <v>403751.6999999999</v>
      </c>
      <c r="ST40" s="356">
        <f t="shared" si="205"/>
        <v>2788911.22</v>
      </c>
      <c r="SU40" s="356">
        <f t="shared" si="205"/>
        <v>3192662.92</v>
      </c>
      <c r="SV40" s="356">
        <f t="shared" si="205"/>
        <v>4652973.419999999</v>
      </c>
      <c r="SW40" s="356">
        <f t="shared" si="205"/>
        <v>7845636.3399999989</v>
      </c>
      <c r="SX40" s="356">
        <f t="shared" si="205"/>
        <v>2294484.3099999977</v>
      </c>
      <c r="SY40" s="356">
        <f t="shared" si="205"/>
        <v>10140120.649999997</v>
      </c>
      <c r="SZ40" s="356"/>
      <c r="TA40" s="356"/>
      <c r="TB40" s="525"/>
      <c r="TC40" s="525"/>
      <c r="TE40" s="336">
        <f>ROW()</f>
        <v>40</v>
      </c>
      <c r="TG40" s="329"/>
      <c r="TH40" s="329"/>
      <c r="TI40" s="329"/>
      <c r="TJ40" s="329"/>
      <c r="TK40" s="347"/>
      <c r="TL40" s="329"/>
      <c r="TM40" s="347"/>
      <c r="TN40" s="329"/>
      <c r="TO40" s="347"/>
      <c r="TP40" s="329"/>
      <c r="TQ40" s="347"/>
      <c r="TR40" s="329"/>
      <c r="TS40" s="329"/>
      <c r="TT40" s="329"/>
      <c r="TU40" s="347"/>
      <c r="TV40" s="329"/>
      <c r="TW40"/>
      <c r="TX40" s="336">
        <f>ROW()</f>
        <v>40</v>
      </c>
    </row>
    <row r="41" spans="1:561" ht="15" thickTop="1" x14ac:dyDescent="0.35">
      <c r="A41" s="111">
        <f>ROW()</f>
        <v>41</v>
      </c>
      <c r="B41" t="s">
        <v>1870</v>
      </c>
      <c r="C41" s="1188" t="s">
        <v>1869</v>
      </c>
      <c r="D41" s="120"/>
      <c r="E41" s="1192">
        <f>'GAS COS Revenues'!D20</f>
        <v>1502765.34</v>
      </c>
      <c r="F41" s="380"/>
      <c r="G41" s="366"/>
      <c r="H41" s="1189"/>
      <c r="I41" s="189"/>
      <c r="J41" s="113"/>
      <c r="K41" s="189"/>
      <c r="L41" s="127"/>
      <c r="M41" s="189"/>
      <c r="N41" s="189"/>
      <c r="O41" s="189"/>
      <c r="P41" s="189"/>
      <c r="Q41" s="189"/>
      <c r="R41" s="189"/>
      <c r="S41" s="111">
        <f>ROW()</f>
        <v>41</v>
      </c>
      <c r="T41" s="595" t="s">
        <v>290</v>
      </c>
      <c r="U41" s="204"/>
      <c r="W41" s="134"/>
      <c r="AK41" s="114"/>
      <c r="AL41"/>
      <c r="AM41"/>
      <c r="AN41"/>
      <c r="AO41"/>
      <c r="AP41"/>
      <c r="AQ41"/>
      <c r="AR41"/>
      <c r="AS41"/>
      <c r="AT41"/>
      <c r="AU41"/>
      <c r="AV41"/>
      <c r="AW41"/>
      <c r="AX41"/>
      <c r="AY41"/>
      <c r="AZ41"/>
      <c r="BA41"/>
      <c r="BB41"/>
      <c r="BD41"/>
      <c r="BE41"/>
      <c r="BF41"/>
      <c r="BG41"/>
      <c r="BH41"/>
      <c r="BI41"/>
      <c r="BJ41"/>
      <c r="BK41"/>
      <c r="BL41"/>
      <c r="BM41"/>
      <c r="BN41"/>
      <c r="BO41"/>
      <c r="BP41"/>
      <c r="BQ41"/>
      <c r="BR41"/>
      <c r="BS41"/>
      <c r="BT41"/>
      <c r="BV41"/>
      <c r="BW41"/>
      <c r="BX41"/>
      <c r="BY41"/>
      <c r="BZ41"/>
      <c r="CA41"/>
      <c r="CB41"/>
      <c r="DE41" s="1"/>
      <c r="DF41" s="1"/>
      <c r="DG41" s="1"/>
      <c r="DH41" s="1"/>
      <c r="DI41" s="1"/>
      <c r="DJ41" s="1"/>
      <c r="DK41" s="1"/>
      <c r="DL41" s="1"/>
      <c r="IS41"/>
      <c r="IT41"/>
      <c r="IU41"/>
      <c r="IV41"/>
      <c r="IW41"/>
      <c r="IX41"/>
      <c r="IY41"/>
      <c r="IZ41"/>
      <c r="JK41"/>
      <c r="JL41"/>
      <c r="JM41"/>
      <c r="JN41"/>
      <c r="JO41"/>
      <c r="JP41"/>
      <c r="JQ41"/>
      <c r="JR41"/>
      <c r="JS41"/>
      <c r="JT41"/>
      <c r="JU41"/>
      <c r="JV41"/>
      <c r="JW41"/>
      <c r="JX41"/>
      <c r="JY41"/>
      <c r="JZ41"/>
      <c r="KA41"/>
      <c r="KB41"/>
      <c r="KU41" s="3"/>
      <c r="MW41" s="111"/>
      <c r="NP41" s="397"/>
      <c r="OC41" s="864"/>
      <c r="OD41" s="864"/>
      <c r="OE41" s="864"/>
      <c r="OF41" s="864"/>
      <c r="OG41" s="111">
        <f>ROW()</f>
        <v>41</v>
      </c>
      <c r="OJ41" s="329"/>
      <c r="OK41" s="329"/>
      <c r="OL41" s="329"/>
      <c r="OM41" s="329"/>
      <c r="ON41" s="329"/>
      <c r="OO41" s="329"/>
      <c r="OP41" s="329"/>
      <c r="OQ41" s="329"/>
      <c r="OR41" s="329"/>
      <c r="OS41" s="329"/>
      <c r="OT41" s="329"/>
      <c r="OU41" s="329"/>
      <c r="OV41" s="329"/>
      <c r="OW41" s="329"/>
      <c r="OX41" s="329"/>
      <c r="OY41" s="111">
        <f>ROW()</f>
        <v>41</v>
      </c>
      <c r="OZ41" s="234" t="s">
        <v>154</v>
      </c>
      <c r="PA41" s="999">
        <v>2.8909999999999999E-3</v>
      </c>
      <c r="PB41" s="121">
        <f>$PB$38*PA41</f>
        <v>11113.49148042</v>
      </c>
      <c r="PC41" s="121">
        <f>-PB41</f>
        <v>-11113.49148042</v>
      </c>
      <c r="PD41" s="121"/>
      <c r="PE41" s="121"/>
      <c r="PM41" s="774"/>
      <c r="PN41" s="267"/>
      <c r="PO41" s="410"/>
      <c r="PP41" s="410"/>
      <c r="PQ41"/>
      <c r="PR41"/>
      <c r="PS41"/>
      <c r="PT41"/>
      <c r="PU41"/>
      <c r="PV41"/>
      <c r="PW41"/>
      <c r="PX41"/>
      <c r="PY41"/>
      <c r="PZ41"/>
      <c r="QA41"/>
      <c r="QB41"/>
      <c r="QC41"/>
      <c r="QD41"/>
      <c r="QE41" s="118"/>
      <c r="QF41" s="118"/>
      <c r="QG41" s="118"/>
      <c r="QH41" s="118"/>
      <c r="RT41" s="329"/>
      <c r="RU41" s="329"/>
      <c r="RV41" s="329"/>
      <c r="RW41" s="329"/>
      <c r="RX41" s="329"/>
      <c r="RY41" s="1"/>
      <c r="RZ41" s="1"/>
      <c r="SA41" s="1"/>
      <c r="SB41" s="1"/>
      <c r="SC41" s="1"/>
      <c r="SD41" s="1"/>
      <c r="SE41" s="1"/>
      <c r="SF41" s="1"/>
      <c r="SG41" s="1"/>
      <c r="SH41" s="1"/>
      <c r="SI41" s="1"/>
      <c r="SJ41" s="1"/>
      <c r="SK41" s="1"/>
      <c r="SL41" s="336">
        <f>ROW()</f>
        <v>41</v>
      </c>
      <c r="SM41" s="329"/>
      <c r="SN41" s="338"/>
      <c r="SO41" s="337"/>
      <c r="SP41" s="337"/>
      <c r="SQ41" s="337"/>
      <c r="SR41" s="337"/>
      <c r="SS41" s="337"/>
      <c r="ST41" s="337"/>
      <c r="SU41" s="337"/>
      <c r="SV41" s="337"/>
      <c r="SW41" s="337"/>
      <c r="SX41" s="337"/>
      <c r="SY41" s="337"/>
      <c r="SZ41" s="337"/>
      <c r="TA41" s="337"/>
      <c r="TB41" s="592"/>
      <c r="TC41" s="592"/>
      <c r="TE41" s="336">
        <f>ROW()</f>
        <v>41</v>
      </c>
      <c r="TG41" s="329"/>
      <c r="TH41" s="329"/>
      <c r="TI41" s="329"/>
      <c r="TJ41" s="329"/>
      <c r="TK41" s="329"/>
      <c r="TL41" s="329"/>
      <c r="TM41" s="329"/>
      <c r="TN41" s="329"/>
      <c r="TO41" s="329"/>
      <c r="TP41" s="329"/>
      <c r="TQ41" s="329"/>
      <c r="TR41" s="329"/>
      <c r="TS41" s="329"/>
      <c r="TT41" s="329"/>
      <c r="TU41" s="329"/>
      <c r="TV41" s="329"/>
      <c r="TW41"/>
      <c r="TX41" s="336">
        <f>ROW()</f>
        <v>41</v>
      </c>
      <c r="TY41" s="241" t="s">
        <v>1764</v>
      </c>
      <c r="TZ41" s="996"/>
      <c r="UA41" s="724"/>
      <c r="UB41" s="724"/>
    </row>
    <row r="42" spans="1:561" x14ac:dyDescent="0.35">
      <c r="A42" s="111">
        <f>ROW()</f>
        <v>42</v>
      </c>
      <c r="B42" t="s">
        <v>1466</v>
      </c>
      <c r="D42" s="759"/>
      <c r="E42" s="1192"/>
      <c r="F42" s="380"/>
      <c r="G42" s="366"/>
      <c r="H42" s="1189"/>
      <c r="I42" s="189"/>
      <c r="J42" s="113"/>
      <c r="K42" s="189"/>
      <c r="L42" s="127"/>
      <c r="M42" s="189"/>
      <c r="N42" s="189"/>
      <c r="O42" s="189"/>
      <c r="P42" s="189"/>
      <c r="Q42" s="189"/>
      <c r="R42" s="189"/>
      <c r="S42" s="111">
        <f>ROW()</f>
        <v>42</v>
      </c>
      <c r="T42" s="238" t="s">
        <v>247</v>
      </c>
      <c r="U42" s="588">
        <f>V42/V17</f>
        <v>0.95269514506903563</v>
      </c>
      <c r="V42" s="121">
        <v>2703965.55</v>
      </c>
      <c r="W42" s="134">
        <f>-V42</f>
        <v>-2703965.55</v>
      </c>
      <c r="X42" s="121">
        <f>SUM(V42:W42)</f>
        <v>0</v>
      </c>
      <c r="Y42" s="121"/>
      <c r="Z42" s="121">
        <f>SUM(X42:Y42)</f>
        <v>0</v>
      </c>
      <c r="AA42" s="121"/>
      <c r="AB42" s="121">
        <f>SUM(Z42:AA42)</f>
        <v>0</v>
      </c>
      <c r="AC42" s="121"/>
      <c r="AD42" s="121">
        <f>SUM(AB42:AC42)</f>
        <v>0</v>
      </c>
      <c r="AE42" s="121"/>
      <c r="AF42" s="121">
        <f>SUM(AD42:AE42)</f>
        <v>0</v>
      </c>
      <c r="AL42"/>
      <c r="AM42"/>
      <c r="AN42"/>
      <c r="AO42"/>
      <c r="AP42"/>
      <c r="AQ42"/>
      <c r="AR42"/>
      <c r="AS42"/>
      <c r="AT42"/>
      <c r="AU42"/>
      <c r="AV42"/>
      <c r="AW42"/>
      <c r="AX42"/>
      <c r="AY42"/>
      <c r="AZ42"/>
      <c r="BA42"/>
      <c r="BB42"/>
      <c r="BD42"/>
      <c r="BE42"/>
      <c r="BF42"/>
      <c r="BG42"/>
      <c r="BH42"/>
      <c r="BI42"/>
      <c r="BJ42"/>
      <c r="BK42"/>
      <c r="BL42"/>
      <c r="BM42"/>
      <c r="BN42"/>
      <c r="BO42"/>
      <c r="BP42"/>
      <c r="BQ42"/>
      <c r="BR42"/>
      <c r="BS42"/>
      <c r="BT42"/>
      <c r="BV42"/>
      <c r="BW42"/>
      <c r="BX42"/>
      <c r="BY42"/>
      <c r="BZ42"/>
      <c r="CA42"/>
      <c r="CB42"/>
      <c r="DE42" s="1"/>
      <c r="DF42" s="1"/>
      <c r="DG42" s="1"/>
      <c r="DH42" s="1"/>
      <c r="DI42" s="1"/>
      <c r="DJ42" s="1"/>
      <c r="DK42" s="1"/>
      <c r="DL42" s="1"/>
      <c r="IS42"/>
      <c r="IT42"/>
      <c r="IU42"/>
      <c r="IV42"/>
      <c r="IW42"/>
      <c r="IX42"/>
      <c r="IY42"/>
      <c r="IZ42"/>
      <c r="JK42"/>
      <c r="JL42"/>
      <c r="JM42"/>
      <c r="JN42"/>
      <c r="JO42"/>
      <c r="JP42"/>
      <c r="JQ42"/>
      <c r="JR42"/>
      <c r="JS42"/>
      <c r="JT42"/>
      <c r="JU42"/>
      <c r="JV42"/>
      <c r="JW42"/>
      <c r="JX42"/>
      <c r="JY42"/>
      <c r="JZ42"/>
      <c r="KA42"/>
      <c r="KB42"/>
      <c r="KU42" s="3"/>
      <c r="MW42" s="111"/>
      <c r="NP42" s="397"/>
      <c r="OC42" s="864"/>
      <c r="OD42" s="864"/>
      <c r="OE42" s="864"/>
      <c r="OF42" s="864"/>
      <c r="OG42" s="111">
        <f>ROW()</f>
        <v>42</v>
      </c>
      <c r="OJ42" s="329"/>
      <c r="OK42" s="329"/>
      <c r="OL42" s="329"/>
      <c r="OM42" s="329"/>
      <c r="ON42" s="329"/>
      <c r="OO42" s="329"/>
      <c r="OP42" s="329"/>
      <c r="OQ42" s="329"/>
      <c r="OR42" s="329"/>
      <c r="OS42" s="329"/>
      <c r="OT42" s="329"/>
      <c r="OU42" s="329"/>
      <c r="OV42" s="329"/>
      <c r="OW42" s="329"/>
      <c r="OX42" s="329"/>
      <c r="OY42" s="111">
        <f>ROW()</f>
        <v>42</v>
      </c>
      <c r="OZ42" s="234" t="s">
        <v>179</v>
      </c>
      <c r="PA42" s="999">
        <v>4.0000000000000001E-3</v>
      </c>
      <c r="PB42" s="121">
        <f t="shared" ref="PB42:PB43" si="206">$PB$38*PA42</f>
        <v>15376.674480000001</v>
      </c>
      <c r="PC42" s="121">
        <f t="shared" ref="PC42:PC43" si="207">-PB42</f>
        <v>-15376.674480000001</v>
      </c>
      <c r="PD42" s="121"/>
      <c r="PE42" s="121"/>
      <c r="PM42" s="419"/>
      <c r="PN42" s="419"/>
      <c r="PO42" s="121"/>
      <c r="PP42" s="121"/>
      <c r="PQ42"/>
      <c r="PR42"/>
      <c r="PS42"/>
      <c r="PT42"/>
      <c r="PU42"/>
      <c r="PV42"/>
      <c r="PW42"/>
      <c r="PX42"/>
      <c r="PY42"/>
      <c r="PZ42"/>
      <c r="QA42"/>
      <c r="QB42"/>
      <c r="QC42"/>
      <c r="QD42"/>
      <c r="QE42"/>
      <c r="QF42"/>
      <c r="QG42"/>
      <c r="QH42"/>
      <c r="RT42" s="329"/>
      <c r="RU42" s="329"/>
      <c r="RV42" s="329"/>
      <c r="RW42" s="329"/>
      <c r="RX42" s="329"/>
      <c r="RY42" s="1"/>
      <c r="RZ42" s="1"/>
      <c r="SA42" s="1"/>
      <c r="SB42" s="1"/>
      <c r="SC42" s="1"/>
      <c r="SD42" s="1"/>
      <c r="SE42" s="1"/>
      <c r="SF42" s="1"/>
      <c r="SG42" s="1"/>
      <c r="SH42" s="1"/>
      <c r="SI42" s="1"/>
      <c r="SJ42" s="1"/>
      <c r="SK42" s="1"/>
      <c r="SL42" s="336">
        <f>ROW()</f>
        <v>42</v>
      </c>
      <c r="SM42" s="329" t="s">
        <v>230</v>
      </c>
      <c r="SN42" s="338">
        <v>0.21</v>
      </c>
      <c r="SO42" s="355"/>
      <c r="SP42" s="355"/>
      <c r="SQ42" s="355"/>
      <c r="SR42" s="355">
        <f t="shared" ref="SR42:SY42" si="208">SR40*-$SN$42</f>
        <v>-84787.856999999975</v>
      </c>
      <c r="SS42" s="355">
        <f t="shared" si="208"/>
        <v>-84787.856999999975</v>
      </c>
      <c r="ST42" s="355">
        <f t="shared" si="208"/>
        <v>-585671.35620000004</v>
      </c>
      <c r="SU42" s="355">
        <f t="shared" si="208"/>
        <v>-670459.2132</v>
      </c>
      <c r="SV42" s="355">
        <f t="shared" si="208"/>
        <v>-977124.41819999972</v>
      </c>
      <c r="SW42" s="355">
        <f t="shared" si="208"/>
        <v>-1647583.6313999996</v>
      </c>
      <c r="SX42" s="355">
        <f t="shared" si="208"/>
        <v>-481841.7050999995</v>
      </c>
      <c r="SY42" s="355">
        <f t="shared" si="208"/>
        <v>-2129425.3364999993</v>
      </c>
      <c r="SZ42" s="355"/>
      <c r="TA42" s="355"/>
      <c r="TB42" s="575"/>
      <c r="TC42" s="575"/>
      <c r="TE42" s="336"/>
      <c r="TG42" s="329"/>
      <c r="TH42" s="329"/>
      <c r="TI42" s="329"/>
      <c r="TJ42" s="329"/>
      <c r="TK42" s="329"/>
      <c r="TL42" s="329"/>
      <c r="TM42" s="329"/>
      <c r="TN42" s="329"/>
      <c r="TO42" s="347"/>
      <c r="TP42" s="329"/>
      <c r="TQ42" s="347"/>
      <c r="TR42" s="329"/>
      <c r="TS42" s="329"/>
      <c r="TT42" s="329"/>
      <c r="TU42" s="347"/>
      <c r="TV42" s="329"/>
      <c r="TW42"/>
      <c r="TX42" s="336">
        <f>ROW()</f>
        <v>42</v>
      </c>
      <c r="TY42" s="1103" t="s">
        <v>1765</v>
      </c>
      <c r="TZ42" s="996"/>
      <c r="UA42" s="724"/>
      <c r="UB42" s="724"/>
    </row>
    <row r="43" spans="1:561" x14ac:dyDescent="0.35">
      <c r="A43" s="111">
        <f>ROW()</f>
        <v>43</v>
      </c>
      <c r="B43" t="s">
        <v>1467</v>
      </c>
      <c r="D43" s="759"/>
      <c r="E43" s="1192"/>
      <c r="F43" s="380"/>
      <c r="G43" s="366"/>
      <c r="H43" s="1189"/>
      <c r="I43" s="189"/>
      <c r="J43" s="113"/>
      <c r="K43" s="189"/>
      <c r="L43" s="127"/>
      <c r="M43" s="189"/>
      <c r="N43" s="189"/>
      <c r="O43" s="189"/>
      <c r="P43" s="189"/>
      <c r="Q43" s="189"/>
      <c r="R43" s="189"/>
      <c r="S43" s="111">
        <f>ROW()</f>
        <v>43</v>
      </c>
      <c r="T43" s="238" t="s">
        <v>985</v>
      </c>
      <c r="U43" s="588">
        <f>V43/V18</f>
        <v>0.95440034297010279</v>
      </c>
      <c r="V43" s="121">
        <v>22395680.359999999</v>
      </c>
      <c r="W43" s="134">
        <f t="shared" ref="W43:W45" si="209">-V43</f>
        <v>-22395680.359999999</v>
      </c>
      <c r="X43" s="121">
        <f>SUM(V43:W43)</f>
        <v>0</v>
      </c>
      <c r="Y43" s="121"/>
      <c r="Z43" s="121">
        <f>SUM(X43:Y43)</f>
        <v>0</v>
      </c>
      <c r="AA43" s="121"/>
      <c r="AB43" s="121">
        <f>SUM(Z43:AA43)</f>
        <v>0</v>
      </c>
      <c r="AC43" s="121"/>
      <c r="AD43" s="121">
        <f>SUM(AB43:AC43)</f>
        <v>0</v>
      </c>
      <c r="AE43" s="121"/>
      <c r="AF43" s="121">
        <f>SUM(AD43:AE43)</f>
        <v>0</v>
      </c>
      <c r="AL43"/>
      <c r="AM43"/>
      <c r="AN43"/>
      <c r="AO43"/>
      <c r="AP43"/>
      <c r="AQ43"/>
      <c r="AR43"/>
      <c r="AS43"/>
      <c r="AT43"/>
      <c r="AU43"/>
      <c r="AV43"/>
      <c r="AW43"/>
      <c r="AX43"/>
      <c r="AY43"/>
      <c r="AZ43"/>
      <c r="BA43"/>
      <c r="BB43"/>
      <c r="BD43"/>
      <c r="BE43"/>
      <c r="BF43"/>
      <c r="BG43"/>
      <c r="BH43"/>
      <c r="BI43"/>
      <c r="BJ43"/>
      <c r="BK43"/>
      <c r="BL43"/>
      <c r="BM43"/>
      <c r="BN43"/>
      <c r="BO43"/>
      <c r="BP43"/>
      <c r="BQ43"/>
      <c r="BR43"/>
      <c r="BS43"/>
      <c r="BT43"/>
      <c r="BV43"/>
      <c r="BW43"/>
      <c r="BX43"/>
      <c r="BY43"/>
      <c r="BZ43"/>
      <c r="CA43"/>
      <c r="CB43"/>
      <c r="DE43" s="1"/>
      <c r="DF43" s="1"/>
      <c r="DG43" s="1"/>
      <c r="DH43" s="1"/>
      <c r="DI43" s="1"/>
      <c r="DJ43" s="1"/>
      <c r="DK43" s="1"/>
      <c r="DL43" s="1"/>
      <c r="IS43"/>
      <c r="IT43"/>
      <c r="IU43"/>
      <c r="IV43"/>
      <c r="IW43"/>
      <c r="IX43"/>
      <c r="IY43"/>
      <c r="IZ43"/>
      <c r="JK43"/>
      <c r="JL43"/>
      <c r="JM43"/>
      <c r="JN43"/>
      <c r="JO43"/>
      <c r="JP43"/>
      <c r="JQ43"/>
      <c r="JR43"/>
      <c r="JS43"/>
      <c r="JT43"/>
      <c r="JU43"/>
      <c r="JV43"/>
      <c r="JW43"/>
      <c r="JX43"/>
      <c r="JY43"/>
      <c r="JZ43"/>
      <c r="KA43"/>
      <c r="KB43"/>
      <c r="KU43" s="3"/>
      <c r="MI43" s="138"/>
      <c r="MW43" s="111"/>
      <c r="NP43" s="397"/>
      <c r="OC43" s="864"/>
      <c r="OD43" s="864"/>
      <c r="OE43" s="864"/>
      <c r="OF43" s="864"/>
      <c r="OU43" s="329"/>
      <c r="OV43" s="329"/>
      <c r="OW43" s="329"/>
      <c r="OX43" s="329"/>
      <c r="OY43" s="111">
        <f>ROW()</f>
        <v>43</v>
      </c>
      <c r="OZ43" s="234" t="s">
        <v>1104</v>
      </c>
      <c r="PA43" s="999">
        <v>3.8408999999999999E-2</v>
      </c>
      <c r="PB43" s="177">
        <f t="shared" si="206"/>
        <v>147650.67252558001</v>
      </c>
      <c r="PC43" s="177">
        <f t="shared" si="207"/>
        <v>-147650.67252558001</v>
      </c>
      <c r="PD43" s="177"/>
      <c r="PE43" s="177"/>
      <c r="PM43" s="770"/>
      <c r="PN43" s="770"/>
      <c r="PO43" s="121"/>
      <c r="PP43" s="121"/>
      <c r="PQ43"/>
      <c r="PR43"/>
      <c r="PS43"/>
      <c r="PT43"/>
      <c r="PU43"/>
      <c r="PV43"/>
      <c r="PW43"/>
      <c r="PX43"/>
      <c r="PY43"/>
      <c r="PZ43"/>
      <c r="QA43"/>
      <c r="QB43"/>
      <c r="QC43"/>
      <c r="QD43"/>
      <c r="QE43"/>
      <c r="QF43"/>
      <c r="QG43"/>
      <c r="QH43"/>
      <c r="RY43" s="1"/>
      <c r="RZ43" s="1"/>
      <c r="SA43" s="1"/>
      <c r="SB43" s="1"/>
      <c r="SC43" s="1"/>
      <c r="SD43" s="1"/>
      <c r="SE43" s="1"/>
      <c r="SF43" s="1"/>
      <c r="SG43" s="1"/>
      <c r="SH43" s="1"/>
      <c r="SI43" s="1"/>
      <c r="SJ43" s="1"/>
      <c r="SK43" s="1"/>
      <c r="SL43" s="336">
        <f>ROW()</f>
        <v>43</v>
      </c>
      <c r="SM43" s="329"/>
      <c r="SN43" s="338"/>
      <c r="SO43" s="363"/>
      <c r="SP43" s="363"/>
      <c r="SQ43" s="363"/>
      <c r="SR43" s="363"/>
      <c r="SS43" s="363"/>
      <c r="ST43" s="363"/>
      <c r="SU43" s="363"/>
      <c r="SV43" s="363"/>
      <c r="SW43" s="363"/>
      <c r="SX43" s="363"/>
      <c r="SY43" s="363"/>
      <c r="SZ43" s="363"/>
      <c r="TA43" s="363"/>
      <c r="TB43" s="579"/>
      <c r="TC43" s="579"/>
      <c r="TE43" s="336"/>
      <c r="TG43" s="329"/>
      <c r="TH43" s="329"/>
      <c r="TI43" s="329"/>
      <c r="TJ43" s="329"/>
      <c r="TK43" s="329"/>
      <c r="TL43" s="329"/>
      <c r="TM43" s="329"/>
      <c r="TN43" s="329"/>
      <c r="TO43" s="329"/>
      <c r="TP43" s="329"/>
      <c r="TQ43" s="329"/>
      <c r="TR43" s="329"/>
      <c r="TS43" s="329"/>
      <c r="TT43" s="329"/>
      <c r="TU43" s="329"/>
      <c r="TV43" s="329"/>
      <c r="TW43"/>
      <c r="TX43" s="336">
        <f>ROW()</f>
        <v>43</v>
      </c>
      <c r="TY43" s="1103" t="s">
        <v>1766</v>
      </c>
      <c r="TZ43" s="996"/>
      <c r="UA43" s="724"/>
      <c r="UB43" s="724"/>
    </row>
    <row r="44" spans="1:561" ht="15" thickBot="1" x14ac:dyDescent="0.4">
      <c r="A44" s="111">
        <f>ROW()</f>
        <v>44</v>
      </c>
      <c r="B44" t="s">
        <v>1468</v>
      </c>
      <c r="D44" s="759"/>
      <c r="E44" s="1196">
        <f>'GAS COS Revenues'!$D$26</f>
        <v>0</v>
      </c>
      <c r="F44" s="380"/>
      <c r="G44" s="366"/>
      <c r="H44" s="1189"/>
      <c r="I44" s="189"/>
      <c r="J44" s="113"/>
      <c r="K44" s="189"/>
      <c r="L44" s="127"/>
      <c r="M44" s="189"/>
      <c r="N44" s="189"/>
      <c r="O44" s="189"/>
      <c r="P44" s="189"/>
      <c r="Q44" s="189"/>
      <c r="R44" s="189"/>
      <c r="S44" s="111">
        <f>ROW()</f>
        <v>44</v>
      </c>
      <c r="T44" s="238" t="s">
        <v>291</v>
      </c>
      <c r="U44" s="588">
        <f>V44/SUM(V19,V31)</f>
        <v>0.95443575362907673</v>
      </c>
      <c r="V44" s="121">
        <v>20829778.100000001</v>
      </c>
      <c r="W44" s="134">
        <f t="shared" si="209"/>
        <v>-20829778.100000001</v>
      </c>
      <c r="X44" s="121">
        <f>SUM(V44:W44)</f>
        <v>0</v>
      </c>
      <c r="Y44" s="121"/>
      <c r="Z44" s="121">
        <f>SUM(X44:Y44)</f>
        <v>0</v>
      </c>
      <c r="AA44" s="121"/>
      <c r="AB44" s="121">
        <f>SUM(Z44:AA44)</f>
        <v>0</v>
      </c>
      <c r="AC44" s="121"/>
      <c r="AD44" s="121">
        <f>SUM(AB44:AC44)</f>
        <v>0</v>
      </c>
      <c r="AE44" s="121"/>
      <c r="AF44" s="121">
        <f>SUM(AD44:AE44)</f>
        <v>0</v>
      </c>
      <c r="AL44"/>
      <c r="AM44"/>
      <c r="AN44"/>
      <c r="AO44"/>
      <c r="AP44"/>
      <c r="AQ44"/>
      <c r="AR44"/>
      <c r="AS44"/>
      <c r="AT44"/>
      <c r="AU44"/>
      <c r="AV44"/>
      <c r="AW44"/>
      <c r="AX44"/>
      <c r="AY44"/>
      <c r="AZ44"/>
      <c r="BA44"/>
      <c r="BB44"/>
      <c r="BD44"/>
      <c r="BE44"/>
      <c r="BF44"/>
      <c r="BG44"/>
      <c r="BH44"/>
      <c r="BI44"/>
      <c r="BJ44"/>
      <c r="BK44"/>
      <c r="BL44"/>
      <c r="BM44"/>
      <c r="BN44"/>
      <c r="BO44"/>
      <c r="BP44"/>
      <c r="BQ44"/>
      <c r="BR44"/>
      <c r="BS44"/>
      <c r="BT44"/>
      <c r="BV44"/>
      <c r="BW44"/>
      <c r="BX44"/>
      <c r="BY44"/>
      <c r="BZ44"/>
      <c r="CA44"/>
      <c r="CB44"/>
      <c r="IS44"/>
      <c r="IT44"/>
      <c r="IU44"/>
      <c r="IV44"/>
      <c r="IW44"/>
      <c r="IX44"/>
      <c r="IY44"/>
      <c r="IZ44"/>
      <c r="JK44"/>
      <c r="JL44"/>
      <c r="JM44"/>
      <c r="JN44"/>
      <c r="JO44"/>
      <c r="JP44"/>
      <c r="JQ44"/>
      <c r="JR44"/>
      <c r="JS44"/>
      <c r="JT44"/>
      <c r="JU44"/>
      <c r="JV44"/>
      <c r="JW44"/>
      <c r="JX44"/>
      <c r="JY44"/>
      <c r="JZ44"/>
      <c r="KA44"/>
      <c r="KB44"/>
      <c r="MW44" s="111"/>
      <c r="NP44" s="397"/>
      <c r="OC44" s="864">
        <v>0</v>
      </c>
      <c r="OD44" s="864">
        <v>0</v>
      </c>
      <c r="OE44" s="864"/>
      <c r="OF44" s="864">
        <v>0</v>
      </c>
      <c r="OU44" s="329"/>
      <c r="OV44" s="329"/>
      <c r="OW44" s="329"/>
      <c r="OX44" s="329"/>
      <c r="OY44" s="111">
        <f>ROW()</f>
        <v>44</v>
      </c>
      <c r="OZ44" s="239" t="s">
        <v>288</v>
      </c>
      <c r="PA44" s="1000"/>
      <c r="PB44" s="121">
        <f>SUM(PB41:PB43)</f>
        <v>174140.83848600002</v>
      </c>
      <c r="PC44" s="121">
        <f>SUM(PC41:PC43)</f>
        <v>-174140.83848600002</v>
      </c>
      <c r="PD44" s="121">
        <f t="shared" ref="PD44:PE44" si="210">SUM(PD41:PD43)</f>
        <v>0</v>
      </c>
      <c r="PE44" s="121">
        <f t="shared" si="210"/>
        <v>0</v>
      </c>
      <c r="PM44" s="775"/>
      <c r="PN44" s="775"/>
      <c r="PO44" s="121"/>
      <c r="PP44" s="121"/>
      <c r="PQ44"/>
      <c r="PR44"/>
      <c r="PS44"/>
      <c r="PT44"/>
      <c r="PU44"/>
      <c r="PV44"/>
      <c r="PW44"/>
      <c r="PX44"/>
      <c r="PY44"/>
      <c r="PZ44"/>
      <c r="QA44"/>
      <c r="QB44"/>
      <c r="QC44"/>
      <c r="QD44"/>
      <c r="QE44"/>
      <c r="QF44"/>
      <c r="QG44"/>
      <c r="QH44"/>
      <c r="RY44" s="1"/>
      <c r="RZ44" s="1"/>
      <c r="SA44" s="1"/>
      <c r="SB44" s="1"/>
      <c r="SC44" s="1"/>
      <c r="SD44" s="1"/>
      <c r="SE44" s="1"/>
      <c r="SF44" s="1"/>
      <c r="SG44" s="1"/>
      <c r="SH44" s="1"/>
      <c r="SI44" s="1"/>
      <c r="SJ44" s="1"/>
      <c r="SK44" s="1"/>
      <c r="SL44" s="336">
        <f>ROW()</f>
        <v>44</v>
      </c>
      <c r="SM44" s="329" t="s">
        <v>224</v>
      </c>
      <c r="SN44" s="338"/>
      <c r="SO44" s="364"/>
      <c r="SP44" s="364"/>
      <c r="SQ44" s="364"/>
      <c r="SR44" s="364">
        <f t="shared" ref="SR44:SY44" si="211">-SR40-SR42</f>
        <v>-318963.84299999994</v>
      </c>
      <c r="SS44" s="364">
        <f t="shared" si="211"/>
        <v>-318963.84299999994</v>
      </c>
      <c r="ST44" s="364">
        <f t="shared" si="211"/>
        <v>-2203239.8638000004</v>
      </c>
      <c r="SU44" s="364">
        <f t="shared" si="211"/>
        <v>-2522203.7067999998</v>
      </c>
      <c r="SV44" s="364">
        <f t="shared" si="211"/>
        <v>-3675849.0017999993</v>
      </c>
      <c r="SW44" s="364">
        <f t="shared" si="211"/>
        <v>-6198052.7085999995</v>
      </c>
      <c r="SX44" s="364">
        <f t="shared" si="211"/>
        <v>-1812642.6048999983</v>
      </c>
      <c r="SY44" s="364">
        <f t="shared" si="211"/>
        <v>-8010695.3134999974</v>
      </c>
      <c r="SZ44" s="364"/>
      <c r="TA44" s="364"/>
      <c r="TB44" s="578"/>
      <c r="TC44" s="578"/>
      <c r="TE44" s="336"/>
      <c r="TG44" s="329"/>
      <c r="TH44" s="329"/>
      <c r="TI44" s="329"/>
      <c r="TJ44" s="329"/>
      <c r="TK44" s="329"/>
      <c r="TL44" s="329"/>
      <c r="TM44" s="329"/>
      <c r="TN44" s="329"/>
      <c r="TO44" s="347"/>
      <c r="TP44" s="329"/>
      <c r="TQ44" s="329"/>
      <c r="TR44" s="329"/>
      <c r="TS44" s="329"/>
      <c r="TT44" s="329"/>
      <c r="TU44" s="329"/>
      <c r="TV44" s="329"/>
      <c r="TW44"/>
      <c r="TX44" s="336">
        <f>ROW()</f>
        <v>44</v>
      </c>
      <c r="TY44" s="1103" t="s">
        <v>1767</v>
      </c>
      <c r="TZ44" s="996"/>
      <c r="UA44" s="724"/>
      <c r="UB44" s="724"/>
    </row>
    <row r="45" spans="1:561" ht="15" thickTop="1" x14ac:dyDescent="0.35">
      <c r="A45" s="111">
        <f>ROW()</f>
        <v>45</v>
      </c>
      <c r="B45" t="s">
        <v>1469</v>
      </c>
      <c r="C45" s="1188" t="s">
        <v>1869</v>
      </c>
      <c r="D45" s="759"/>
      <c r="E45" s="1196">
        <f>'GAS COS Revenues'!$D$28</f>
        <v>0</v>
      </c>
      <c r="F45" s="1189"/>
      <c r="G45" s="1193"/>
      <c r="H45" s="1189"/>
      <c r="I45" s="189"/>
      <c r="J45" s="189"/>
      <c r="K45" s="189"/>
      <c r="L45" s="189"/>
      <c r="M45" s="189"/>
      <c r="N45" s="189"/>
      <c r="O45" s="189"/>
      <c r="P45" s="189"/>
      <c r="Q45" s="189"/>
      <c r="R45" s="189"/>
      <c r="S45" s="111">
        <f>ROW()</f>
        <v>45</v>
      </c>
      <c r="T45" s="238" t="s">
        <v>984</v>
      </c>
      <c r="U45" s="588">
        <f>SUM(V45)/SUM(V20,V29)</f>
        <v>0.95978203323298106</v>
      </c>
      <c r="V45" s="121">
        <v>544647470.25</v>
      </c>
      <c r="W45" s="134">
        <f t="shared" si="209"/>
        <v>-544647470.25</v>
      </c>
      <c r="X45" s="121">
        <f>SUM(V45:W45)</f>
        <v>0</v>
      </c>
      <c r="Y45" s="121"/>
      <c r="Z45" s="121">
        <f>SUM(X45:Y45)</f>
        <v>0</v>
      </c>
      <c r="AA45" s="121"/>
      <c r="AB45" s="121">
        <f>SUM(Z45:AA45)</f>
        <v>0</v>
      </c>
      <c r="AC45" s="121"/>
      <c r="AD45" s="121">
        <f>SUM(AB45:AC45)</f>
        <v>0</v>
      </c>
      <c r="AE45" s="121"/>
      <c r="AF45" s="121">
        <f>SUM(AD45:AE45)</f>
        <v>0</v>
      </c>
      <c r="AL45"/>
      <c r="AM45"/>
      <c r="AN45"/>
      <c r="AO45"/>
      <c r="AP45"/>
      <c r="AQ45"/>
      <c r="AR45"/>
      <c r="AS45"/>
      <c r="AT45"/>
      <c r="AU45"/>
      <c r="AV45"/>
      <c r="AW45"/>
      <c r="AX45"/>
      <c r="AY45"/>
      <c r="AZ45"/>
      <c r="BA45"/>
      <c r="BB45"/>
      <c r="BD45"/>
      <c r="BE45"/>
      <c r="BF45"/>
      <c r="BG45"/>
      <c r="BH45"/>
      <c r="BI45"/>
      <c r="BJ45"/>
      <c r="BK45"/>
      <c r="BL45"/>
      <c r="BM45"/>
      <c r="BN45"/>
      <c r="BO45"/>
      <c r="BP45"/>
      <c r="BQ45"/>
      <c r="BR45"/>
      <c r="BS45"/>
      <c r="BT45"/>
      <c r="BV45"/>
      <c r="BW45"/>
      <c r="BX45"/>
      <c r="BY45"/>
      <c r="BZ45"/>
      <c r="CA45"/>
      <c r="CB45"/>
      <c r="IS45"/>
      <c r="IT45"/>
      <c r="IU45"/>
      <c r="IV45"/>
      <c r="IW45"/>
      <c r="IX45"/>
      <c r="IY45"/>
      <c r="IZ45"/>
      <c r="JK45"/>
      <c r="JL45"/>
      <c r="JM45"/>
      <c r="JN45"/>
      <c r="JO45"/>
      <c r="JP45"/>
      <c r="JQ45"/>
      <c r="JR45"/>
      <c r="JS45"/>
      <c r="JT45"/>
      <c r="JU45"/>
      <c r="JV45"/>
      <c r="JW45"/>
      <c r="JX45"/>
      <c r="JY45"/>
      <c r="JZ45"/>
      <c r="KA45"/>
      <c r="KB45"/>
      <c r="MI45" s="138"/>
      <c r="MW45" s="329"/>
      <c r="NP45" s="397"/>
      <c r="OC45" s="864"/>
      <c r="OD45" s="864"/>
      <c r="OE45" s="864"/>
      <c r="OF45" s="864"/>
      <c r="OU45" s="329"/>
      <c r="OV45" s="329"/>
      <c r="OW45" s="329"/>
      <c r="OX45" s="329"/>
      <c r="OY45" s="111">
        <f>ROW()</f>
        <v>45</v>
      </c>
      <c r="PM45" s="267"/>
      <c r="PN45" s="267"/>
      <c r="PO45" s="121"/>
      <c r="PP45" s="121"/>
      <c r="PQ45"/>
      <c r="PR45"/>
      <c r="PS45"/>
      <c r="PT45"/>
      <c r="PU45"/>
      <c r="PV45"/>
      <c r="PW45"/>
      <c r="PX45"/>
      <c r="PY45"/>
      <c r="PZ45"/>
      <c r="QA45"/>
      <c r="QB45"/>
      <c r="QC45"/>
      <c r="QD45"/>
      <c r="QE45"/>
      <c r="QF45"/>
      <c r="QG45"/>
      <c r="QH45"/>
      <c r="RY45" s="1"/>
      <c r="RZ45" s="1"/>
      <c r="SA45" s="1"/>
      <c r="SB45" s="1"/>
      <c r="SC45" s="1"/>
      <c r="SD45" s="1"/>
      <c r="SE45" s="1"/>
      <c r="SF45" s="1"/>
      <c r="SG45" s="1"/>
      <c r="SH45" s="1"/>
      <c r="SI45" s="1"/>
      <c r="SJ45" s="1"/>
      <c r="SK45" s="1"/>
      <c r="SL45" s="336">
        <f>ROW()</f>
        <v>45</v>
      </c>
      <c r="SM45" s="329"/>
      <c r="SN45" s="338"/>
      <c r="SO45" s="341"/>
      <c r="SP45" s="341"/>
      <c r="SQ45" s="341"/>
      <c r="SR45" s="341"/>
      <c r="SS45" s="341"/>
      <c r="ST45" s="341"/>
      <c r="SU45" s="341"/>
      <c r="SV45" s="341"/>
      <c r="SW45" s="341"/>
      <c r="SX45" s="341"/>
      <c r="SY45" s="341"/>
      <c r="SZ45" s="341"/>
      <c r="TA45" s="341"/>
      <c r="TB45" s="581"/>
      <c r="TC45" s="581"/>
      <c r="TE45" s="336"/>
      <c r="TG45" s="329"/>
      <c r="TH45" s="329"/>
      <c r="TI45" s="329"/>
      <c r="TJ45" s="329"/>
      <c r="TK45" s="329"/>
      <c r="TL45" s="329"/>
      <c r="TM45" s="329"/>
      <c r="TN45" s="329"/>
      <c r="TO45" s="329"/>
      <c r="TP45" s="329"/>
      <c r="TQ45" s="329"/>
      <c r="TR45" s="329"/>
      <c r="TS45" s="329"/>
      <c r="TT45" s="329"/>
      <c r="TU45" s="329"/>
      <c r="TV45" s="329"/>
      <c r="TW45"/>
      <c r="TY45" s="996"/>
      <c r="TZ45" s="996"/>
      <c r="UA45" s="724"/>
      <c r="UB45" s="724"/>
    </row>
    <row r="46" spans="1:561" ht="15" thickBot="1" x14ac:dyDescent="0.4">
      <c r="A46" s="111">
        <f>ROW()</f>
        <v>46</v>
      </c>
      <c r="B46" t="s">
        <v>1471</v>
      </c>
      <c r="C46" s="1188" t="s">
        <v>1869</v>
      </c>
      <c r="D46" s="759"/>
      <c r="E46" s="366">
        <f>'GAS COS Revenues'!$D$18</f>
        <v>0</v>
      </c>
      <c r="F46" s="1189"/>
      <c r="G46" s="1193"/>
      <c r="H46" s="1189"/>
      <c r="I46" s="189"/>
      <c r="J46" s="189"/>
      <c r="K46" s="189"/>
      <c r="L46" s="189"/>
      <c r="M46" s="189"/>
      <c r="N46" s="189"/>
      <c r="O46" s="189"/>
      <c r="P46" s="189"/>
      <c r="Q46" s="189"/>
      <c r="R46" s="189"/>
      <c r="S46" s="111">
        <f>ROW()</f>
        <v>46</v>
      </c>
      <c r="T46" s="238"/>
      <c r="U46" s="588"/>
      <c r="V46" s="121"/>
      <c r="W46" s="134"/>
      <c r="X46" s="121"/>
      <c r="Y46" s="121"/>
      <c r="Z46" s="121"/>
      <c r="AA46" s="121"/>
      <c r="AB46" s="121"/>
      <c r="AC46" s="121"/>
      <c r="AD46" s="121"/>
      <c r="AE46" s="121"/>
      <c r="AF46" s="121"/>
      <c r="AL46"/>
      <c r="AM46"/>
      <c r="AN46"/>
      <c r="AO46"/>
      <c r="AP46"/>
      <c r="AQ46"/>
      <c r="AR46"/>
      <c r="AS46"/>
      <c r="AT46"/>
      <c r="AU46"/>
      <c r="AV46"/>
      <c r="AW46"/>
      <c r="AX46"/>
      <c r="AY46"/>
      <c r="AZ46"/>
      <c r="BA46"/>
      <c r="BB46"/>
      <c r="BD46"/>
      <c r="BE46"/>
      <c r="BF46"/>
      <c r="BG46"/>
      <c r="BH46"/>
      <c r="BI46"/>
      <c r="BJ46"/>
      <c r="BK46"/>
      <c r="BL46"/>
      <c r="BM46"/>
      <c r="BN46"/>
      <c r="BO46"/>
      <c r="BP46"/>
      <c r="BQ46"/>
      <c r="BR46"/>
      <c r="BS46"/>
      <c r="BT46"/>
      <c r="BV46"/>
      <c r="BW46"/>
      <c r="BX46"/>
      <c r="BY46"/>
      <c r="BZ46"/>
      <c r="CA46"/>
      <c r="CB46"/>
      <c r="IS46"/>
      <c r="IT46"/>
      <c r="IU46"/>
      <c r="IV46"/>
      <c r="IW46"/>
      <c r="IX46"/>
      <c r="IY46"/>
      <c r="IZ46"/>
      <c r="JK46"/>
      <c r="JL46"/>
      <c r="JM46"/>
      <c r="JN46"/>
      <c r="JO46"/>
      <c r="JP46"/>
      <c r="JQ46"/>
      <c r="JR46"/>
      <c r="JS46"/>
      <c r="JT46"/>
      <c r="JU46"/>
      <c r="JV46"/>
      <c r="JW46"/>
      <c r="JX46"/>
      <c r="JY46"/>
      <c r="JZ46"/>
      <c r="KA46"/>
      <c r="KB46"/>
      <c r="NP46" s="397"/>
      <c r="OC46" s="864">
        <v>0</v>
      </c>
      <c r="OD46" s="864">
        <v>0</v>
      </c>
      <c r="OE46" s="864">
        <v>0</v>
      </c>
      <c r="OF46" s="864">
        <v>0</v>
      </c>
      <c r="OU46" s="329"/>
      <c r="OV46" s="329"/>
      <c r="OW46" s="329"/>
      <c r="OX46" s="329"/>
      <c r="OY46" s="111">
        <f>ROW()</f>
        <v>46</v>
      </c>
      <c r="OZ46" s="594" t="s">
        <v>260</v>
      </c>
      <c r="PA46" s="409"/>
      <c r="PB46" s="781"/>
      <c r="PC46" s="781"/>
      <c r="PD46" s="782"/>
      <c r="PE46" s="782"/>
      <c r="PF46" s="782"/>
      <c r="PG46" s="782"/>
      <c r="PH46" s="782"/>
      <c r="PI46" s="782"/>
      <c r="PJ46" s="782"/>
      <c r="PK46" s="782"/>
      <c r="PL46" s="773"/>
      <c r="PM46" s="419"/>
      <c r="PN46" s="419"/>
      <c r="PO46" s="384"/>
      <c r="PP46" s="384"/>
      <c r="PQ46"/>
      <c r="PR46"/>
      <c r="PS46"/>
      <c r="PT46"/>
      <c r="PU46"/>
      <c r="PV46"/>
      <c r="PW46"/>
      <c r="PX46"/>
      <c r="PY46"/>
      <c r="PZ46"/>
      <c r="QA46"/>
      <c r="QB46"/>
      <c r="QC46"/>
      <c r="QD46"/>
      <c r="QE46"/>
      <c r="QF46"/>
      <c r="QG46"/>
      <c r="QH46"/>
      <c r="RY46" s="1"/>
      <c r="RZ46" s="1"/>
      <c r="SA46" s="1"/>
      <c r="SB46" s="1"/>
      <c r="SC46" s="1"/>
      <c r="SD46" s="1"/>
      <c r="SE46" s="1"/>
      <c r="SF46" s="1"/>
      <c r="SG46" s="1"/>
      <c r="SH46" s="1"/>
      <c r="SI46" s="1"/>
      <c r="SJ46" s="1"/>
      <c r="SK46" s="1"/>
      <c r="SL46" s="336">
        <f>ROW()</f>
        <v>46</v>
      </c>
      <c r="SM46" s="329" t="s">
        <v>898</v>
      </c>
      <c r="SN46" s="338"/>
      <c r="SO46" s="362"/>
      <c r="SP46" s="362"/>
      <c r="SQ46" s="362"/>
      <c r="SR46" s="362">
        <v>53642765.109999999</v>
      </c>
      <c r="SS46" s="362">
        <f t="shared" ref="SS46:SS48" si="212">SR46</f>
        <v>53642765.109999999</v>
      </c>
      <c r="ST46" s="362">
        <v>89119728.279999986</v>
      </c>
      <c r="SU46" s="362">
        <f t="shared" ref="SU46:SU48" si="213">ST46+SS46</f>
        <v>142762493.38999999</v>
      </c>
      <c r="SV46" s="362">
        <v>28472966.340000033</v>
      </c>
      <c r="SW46" s="362">
        <f t="shared" ref="SW46:SW48" si="214">SV46+SU46</f>
        <v>171235459.73000002</v>
      </c>
      <c r="SX46" s="362">
        <v>53719330.550000012</v>
      </c>
      <c r="SY46" s="362">
        <f t="shared" ref="SY46:SY48" si="215">SX46+SW46</f>
        <v>224954790.28000003</v>
      </c>
      <c r="SZ46" s="362"/>
      <c r="TA46" s="362"/>
      <c r="TB46" s="576"/>
      <c r="TC46" s="576"/>
      <c r="TE46" s="336"/>
      <c r="TG46" s="329"/>
      <c r="TH46" s="329"/>
      <c r="TI46" s="329"/>
      <c r="TJ46" s="329"/>
      <c r="TK46" s="329"/>
      <c r="TL46" s="329"/>
      <c r="TM46" s="329"/>
      <c r="TN46" s="329"/>
      <c r="TO46" s="329"/>
      <c r="TP46" s="329"/>
      <c r="TQ46" s="329"/>
      <c r="TR46" s="329"/>
      <c r="TS46" s="329"/>
      <c r="TT46" s="329"/>
      <c r="TU46" s="329"/>
      <c r="TV46" s="329"/>
      <c r="TW46"/>
      <c r="TY46" s="997"/>
      <c r="TZ46" s="996"/>
      <c r="UA46" s="724"/>
      <c r="UB46" s="724"/>
    </row>
    <row r="47" spans="1:561" ht="15" thickTop="1" x14ac:dyDescent="0.35">
      <c r="A47" s="111">
        <f>ROW()</f>
        <v>47</v>
      </c>
      <c r="B47" t="s">
        <v>1525</v>
      </c>
      <c r="C47" s="1188" t="s">
        <v>1869</v>
      </c>
      <c r="D47" s="759"/>
      <c r="E47" s="1196">
        <f>'GAS COS Revenues'!$D$35</f>
        <v>-374.35</v>
      </c>
      <c r="F47" s="1189"/>
      <c r="G47" s="1196"/>
      <c r="H47" s="1189"/>
      <c r="I47" s="189"/>
      <c r="J47" s="189"/>
      <c r="K47" s="189"/>
      <c r="L47" s="189"/>
      <c r="M47" s="189"/>
      <c r="N47" s="189"/>
      <c r="O47" s="189"/>
      <c r="P47" s="189"/>
      <c r="Q47" s="189"/>
      <c r="R47" s="189"/>
      <c r="S47" s="111">
        <f>ROW()</f>
        <v>47</v>
      </c>
      <c r="T47" s="238"/>
      <c r="U47" s="588"/>
      <c r="V47" s="121"/>
      <c r="W47" s="134"/>
      <c r="X47" s="121"/>
      <c r="Y47" s="121"/>
      <c r="Z47" s="121"/>
      <c r="AA47" s="121"/>
      <c r="AB47" s="121"/>
      <c r="AC47" s="121"/>
      <c r="AD47" s="121"/>
      <c r="AE47" s="121"/>
      <c r="AF47" s="121"/>
      <c r="AL47"/>
      <c r="AM47"/>
      <c r="AN47"/>
      <c r="AO47"/>
      <c r="AP47"/>
      <c r="AQ47"/>
      <c r="AR47"/>
      <c r="AS47"/>
      <c r="AT47"/>
      <c r="AU47"/>
      <c r="AV47"/>
      <c r="AW47"/>
      <c r="AX47"/>
      <c r="AY47"/>
      <c r="AZ47"/>
      <c r="BA47"/>
      <c r="BB47"/>
      <c r="BD47"/>
      <c r="BE47"/>
      <c r="BF47"/>
      <c r="BG47"/>
      <c r="BH47"/>
      <c r="BI47"/>
      <c r="BJ47"/>
      <c r="BK47"/>
      <c r="BL47"/>
      <c r="BM47"/>
      <c r="BN47"/>
      <c r="BO47"/>
      <c r="BP47"/>
      <c r="BQ47"/>
      <c r="BR47"/>
      <c r="BS47"/>
      <c r="BT47"/>
      <c r="BV47"/>
      <c r="BW47"/>
      <c r="BX47"/>
      <c r="BY47"/>
      <c r="BZ47"/>
      <c r="CA47"/>
      <c r="CB47"/>
      <c r="IS47"/>
      <c r="IT47"/>
      <c r="IU47"/>
      <c r="IV47"/>
      <c r="IW47"/>
      <c r="IX47"/>
      <c r="IY47"/>
      <c r="IZ47"/>
      <c r="JK47"/>
      <c r="JL47"/>
      <c r="JM47"/>
      <c r="JN47"/>
      <c r="JO47"/>
      <c r="JP47"/>
      <c r="JQ47"/>
      <c r="JR47"/>
      <c r="JS47"/>
      <c r="JT47"/>
      <c r="JU47"/>
      <c r="JV47"/>
      <c r="JW47"/>
      <c r="JX47"/>
      <c r="JY47"/>
      <c r="JZ47"/>
      <c r="KA47"/>
      <c r="KB47"/>
      <c r="NP47" s="397"/>
      <c r="OC47" s="864"/>
      <c r="OD47" s="864"/>
      <c r="OE47" s="864"/>
      <c r="OF47" s="864"/>
      <c r="OU47" s="329"/>
      <c r="OV47" s="329"/>
      <c r="OW47" s="329"/>
      <c r="OX47" s="329"/>
      <c r="OY47" s="111">
        <f>ROW()</f>
        <v>47</v>
      </c>
      <c r="OZ47" s="2" t="s">
        <v>1113</v>
      </c>
      <c r="PA47" s="149"/>
      <c r="PB47" s="121"/>
      <c r="PC47" s="786"/>
      <c r="PD47" s="121"/>
      <c r="PE47" s="787"/>
      <c r="PF47" s="405"/>
      <c r="PG47" s="787"/>
      <c r="PH47" s="405">
        <v>0</v>
      </c>
      <c r="PI47" s="787">
        <f>PJ47-PH47</f>
        <v>4718449.8108259197</v>
      </c>
      <c r="PJ47" s="419">
        <v>4718449.8108259197</v>
      </c>
      <c r="PK47" s="787">
        <f>PL47-PJ47</f>
        <v>0</v>
      </c>
      <c r="PL47" s="419">
        <v>4718449.8108259197</v>
      </c>
      <c r="PM47" s="776"/>
      <c r="PN47" s="776"/>
      <c r="PQ47"/>
      <c r="PR47"/>
      <c r="PS47"/>
      <c r="PT47"/>
      <c r="PU47"/>
      <c r="PV47"/>
      <c r="PW47"/>
      <c r="PX47"/>
      <c r="PY47"/>
      <c r="PZ47"/>
      <c r="QA47"/>
      <c r="QB47"/>
      <c r="QC47"/>
      <c r="QD47"/>
      <c r="QE47"/>
      <c r="QF47"/>
      <c r="QG47"/>
      <c r="QH47"/>
      <c r="RY47" s="1"/>
      <c r="RZ47" s="1"/>
      <c r="SA47" s="1"/>
      <c r="SB47" s="1"/>
      <c r="SC47" s="1"/>
      <c r="SD47" s="1"/>
      <c r="SE47" s="1"/>
      <c r="SF47" s="1"/>
      <c r="SG47" s="1"/>
      <c r="SH47" s="1"/>
      <c r="SI47" s="1"/>
      <c r="SJ47" s="1"/>
      <c r="SK47" s="1"/>
      <c r="SL47" s="336">
        <f>ROW()</f>
        <v>47</v>
      </c>
      <c r="SM47" s="329" t="s">
        <v>899</v>
      </c>
      <c r="SN47" s="338"/>
      <c r="SO47" s="356"/>
      <c r="SP47" s="356"/>
      <c r="SQ47" s="356"/>
      <c r="SR47" s="356">
        <v>-403751.7</v>
      </c>
      <c r="SS47" s="356">
        <f t="shared" si="212"/>
        <v>-403751.7</v>
      </c>
      <c r="ST47" s="356">
        <v>-3192662.92</v>
      </c>
      <c r="SU47" s="356">
        <f t="shared" si="213"/>
        <v>-3596414.62</v>
      </c>
      <c r="SV47" s="356">
        <v>-3715299.8600000003</v>
      </c>
      <c r="SW47" s="356">
        <f t="shared" si="214"/>
        <v>-7311714.4800000004</v>
      </c>
      <c r="SX47" s="356">
        <v>-9046873.4099999983</v>
      </c>
      <c r="SY47" s="356">
        <f t="shared" si="215"/>
        <v>-16358587.889999999</v>
      </c>
      <c r="SZ47" s="356"/>
      <c r="TA47" s="356"/>
      <c r="TB47" s="525"/>
      <c r="TC47" s="525"/>
      <c r="TG47" s="329"/>
      <c r="TH47" s="329"/>
      <c r="TI47" s="329"/>
      <c r="TJ47" s="329"/>
      <c r="TK47" s="329"/>
      <c r="TL47" s="329"/>
      <c r="TM47" s="329"/>
      <c r="TN47" s="329"/>
      <c r="TO47" s="329"/>
      <c r="TP47" s="329"/>
      <c r="TQ47" s="329"/>
      <c r="TR47" s="329"/>
      <c r="TS47" s="329"/>
      <c r="TT47" s="329"/>
      <c r="TU47" s="329"/>
      <c r="TV47" s="329"/>
      <c r="TW47"/>
      <c r="TY47" s="996"/>
      <c r="TZ47" s="996"/>
      <c r="UA47" s="724"/>
      <c r="UB47" s="724"/>
    </row>
    <row r="48" spans="1:561" ht="15" thickBot="1" x14ac:dyDescent="0.4">
      <c r="A48" s="111">
        <f>ROW()</f>
        <v>48</v>
      </c>
      <c r="B48" t="s">
        <v>986</v>
      </c>
      <c r="C48" s="1188" t="s">
        <v>1869</v>
      </c>
      <c r="D48" s="759"/>
      <c r="E48" s="1196"/>
      <c r="F48" s="1189"/>
      <c r="G48" s="1193">
        <f>'GAS COS Revenues'!$D$36</f>
        <v>-479274.91999999993</v>
      </c>
      <c r="H48" s="1189"/>
      <c r="I48" s="189"/>
      <c r="J48" s="189"/>
      <c r="K48" s="189"/>
      <c r="L48" s="189"/>
      <c r="M48" s="189"/>
      <c r="N48" s="189"/>
      <c r="O48" s="189"/>
      <c r="P48" s="189"/>
      <c r="Q48" s="189"/>
      <c r="R48" s="189"/>
      <c r="S48" s="111">
        <f>ROW()</f>
        <v>48</v>
      </c>
      <c r="T48" s="238"/>
      <c r="U48" s="588"/>
      <c r="V48" s="121"/>
      <c r="W48" s="134"/>
      <c r="X48" s="121"/>
      <c r="Y48" s="121"/>
      <c r="Z48" s="121"/>
      <c r="AA48" s="121"/>
      <c r="AB48" s="121"/>
      <c r="AC48" s="121"/>
      <c r="AD48" s="121"/>
      <c r="AE48" s="121"/>
      <c r="AF48" s="121"/>
      <c r="AL48"/>
      <c r="AM48"/>
      <c r="AN48"/>
      <c r="AO48"/>
      <c r="AP48"/>
      <c r="AQ48"/>
      <c r="AR48"/>
      <c r="AS48"/>
      <c r="AT48"/>
      <c r="AU48"/>
      <c r="AV48"/>
      <c r="AW48"/>
      <c r="AX48"/>
      <c r="AY48"/>
      <c r="AZ48"/>
      <c r="BA48"/>
      <c r="BB48"/>
      <c r="BD48"/>
      <c r="BE48"/>
      <c r="BF48"/>
      <c r="BG48"/>
      <c r="BH48"/>
      <c r="BI48"/>
      <c r="BJ48"/>
      <c r="BK48"/>
      <c r="BL48"/>
      <c r="BM48"/>
      <c r="BN48"/>
      <c r="BO48"/>
      <c r="BP48"/>
      <c r="BQ48"/>
      <c r="BR48"/>
      <c r="BS48"/>
      <c r="BT48"/>
      <c r="BV48"/>
      <c r="BW48"/>
      <c r="BX48"/>
      <c r="BY48"/>
      <c r="BZ48"/>
      <c r="CA48"/>
      <c r="CB48"/>
      <c r="IS48"/>
      <c r="IT48"/>
      <c r="IU48"/>
      <c r="IV48"/>
      <c r="IW48"/>
      <c r="IX48"/>
      <c r="IY48"/>
      <c r="IZ48"/>
      <c r="JK48"/>
      <c r="JL48"/>
      <c r="JM48"/>
      <c r="JN48"/>
      <c r="JO48"/>
      <c r="JP48"/>
      <c r="JQ48"/>
      <c r="JR48"/>
      <c r="JS48"/>
      <c r="JT48"/>
      <c r="JU48"/>
      <c r="JV48"/>
      <c r="JW48"/>
      <c r="JX48"/>
      <c r="JY48"/>
      <c r="JZ48"/>
      <c r="KA48"/>
      <c r="KB48"/>
      <c r="NP48" s="397"/>
      <c r="OC48" s="864"/>
      <c r="OD48" s="864"/>
      <c r="OE48" s="864"/>
      <c r="OF48" s="864"/>
      <c r="OZ48" s="409" t="s">
        <v>3</v>
      </c>
      <c r="PA48" s="112"/>
      <c r="PB48" s="770">
        <f t="shared" ref="PB48:PL48" si="216">SUM(PB47:PB47)</f>
        <v>0</v>
      </c>
      <c r="PC48" s="770">
        <f t="shared" si="216"/>
        <v>0</v>
      </c>
      <c r="PD48" s="770">
        <f t="shared" si="216"/>
        <v>0</v>
      </c>
      <c r="PE48" s="770">
        <f t="shared" si="216"/>
        <v>0</v>
      </c>
      <c r="PF48" s="770">
        <f t="shared" si="216"/>
        <v>0</v>
      </c>
      <c r="PG48" s="770">
        <f t="shared" si="216"/>
        <v>0</v>
      </c>
      <c r="PH48" s="770">
        <f t="shared" si="216"/>
        <v>0</v>
      </c>
      <c r="PI48" s="770">
        <f t="shared" si="216"/>
        <v>4718449.8108259197</v>
      </c>
      <c r="PJ48" s="770">
        <f t="shared" si="216"/>
        <v>4718449.8108259197</v>
      </c>
      <c r="PK48" s="770">
        <f t="shared" si="216"/>
        <v>0</v>
      </c>
      <c r="PL48" s="770">
        <f t="shared" si="216"/>
        <v>4718449.8108259197</v>
      </c>
      <c r="PM48" s="777"/>
      <c r="PN48" s="777"/>
      <c r="PQ48"/>
      <c r="PR48"/>
      <c r="PS48"/>
      <c r="PT48"/>
      <c r="PU48"/>
      <c r="PV48"/>
      <c r="PW48"/>
      <c r="PX48"/>
      <c r="PY48"/>
      <c r="PZ48"/>
      <c r="QA48"/>
      <c r="QB48"/>
      <c r="QC48"/>
      <c r="QD48"/>
      <c r="QE48"/>
      <c r="QF48"/>
      <c r="QG48"/>
      <c r="QH48"/>
      <c r="RY48" s="1"/>
      <c r="RZ48" s="1"/>
      <c r="SA48" s="1"/>
      <c r="SB48" s="1"/>
      <c r="SC48" s="1"/>
      <c r="SD48" s="1"/>
      <c r="SE48" s="1"/>
      <c r="SF48" s="1"/>
      <c r="SG48" s="1"/>
      <c r="SH48" s="1"/>
      <c r="SI48" s="1"/>
      <c r="SJ48" s="1"/>
      <c r="SK48" s="1"/>
      <c r="SL48" s="336">
        <f>ROW()</f>
        <v>48</v>
      </c>
      <c r="SM48" s="329" t="s">
        <v>900</v>
      </c>
      <c r="SN48" s="338"/>
      <c r="SO48" s="355"/>
      <c r="SP48" s="355"/>
      <c r="SQ48" s="355"/>
      <c r="SR48" s="355">
        <v>-339985.02999999997</v>
      </c>
      <c r="SS48" s="355">
        <f t="shared" si="212"/>
        <v>-339985.02999999997</v>
      </c>
      <c r="ST48" s="355">
        <v>-891165.5</v>
      </c>
      <c r="SU48" s="355">
        <f t="shared" si="213"/>
        <v>-1231150.53</v>
      </c>
      <c r="SV48" s="355">
        <v>-512728.69999999995</v>
      </c>
      <c r="SW48" s="355">
        <f t="shared" si="214"/>
        <v>-1743879.23</v>
      </c>
      <c r="SX48" s="355">
        <v>-1060799.5899999999</v>
      </c>
      <c r="SY48" s="355">
        <f t="shared" si="215"/>
        <v>-2804678.82</v>
      </c>
      <c r="SZ48" s="355"/>
      <c r="TA48" s="355"/>
      <c r="TB48" s="575"/>
      <c r="TC48" s="575"/>
      <c r="TG48" s="329"/>
      <c r="TH48" s="329"/>
      <c r="TI48" s="329"/>
      <c r="TJ48" s="329"/>
      <c r="TK48" s="329"/>
      <c r="TL48" s="329"/>
      <c r="TM48" s="329"/>
      <c r="TN48" s="329"/>
      <c r="TO48" s="329"/>
      <c r="TP48" s="329"/>
      <c r="TQ48" s="329"/>
      <c r="TR48" s="329"/>
      <c r="TS48" s="329"/>
      <c r="TT48" s="329"/>
      <c r="TU48" s="329"/>
      <c r="TV48" s="329"/>
      <c r="TW48"/>
      <c r="TY48" s="808"/>
      <c r="TZ48" s="996"/>
      <c r="UA48" s="724"/>
      <c r="UB48" s="724"/>
    </row>
    <row r="49" spans="1:548" ht="15.5" thickTop="1" thickBot="1" x14ac:dyDescent="0.4">
      <c r="A49" s="111">
        <f>ROW()</f>
        <v>49</v>
      </c>
      <c r="B49" t="s">
        <v>1526</v>
      </c>
      <c r="C49" s="1188" t="s">
        <v>1869</v>
      </c>
      <c r="D49" s="759"/>
      <c r="E49" s="1196"/>
      <c r="F49" s="1189"/>
      <c r="G49" s="1196">
        <f>'GAS COS Revenues'!$D$37</f>
        <v>-357660.75</v>
      </c>
      <c r="H49" s="1189"/>
      <c r="I49" s="189"/>
      <c r="J49" s="189"/>
      <c r="K49" s="189"/>
      <c r="L49" s="189"/>
      <c r="M49" s="189"/>
      <c r="N49" s="189"/>
      <c r="O49" s="189"/>
      <c r="P49" s="189"/>
      <c r="Q49" s="189"/>
      <c r="R49" s="189"/>
      <c r="S49" s="111">
        <f>ROW()</f>
        <v>49</v>
      </c>
      <c r="T49" s="238" t="s">
        <v>983</v>
      </c>
      <c r="U49" s="588">
        <f>V49/V21</f>
        <v>0.95561885281170889</v>
      </c>
      <c r="V49" s="121">
        <v>35637472.170000002</v>
      </c>
      <c r="W49" s="134">
        <f t="shared" ref="W49:W60" si="217">-V49</f>
        <v>-35637472.170000002</v>
      </c>
      <c r="X49" s="121">
        <f t="shared" ref="X49:X57" si="218">SUM(V49:W49)</f>
        <v>0</v>
      </c>
      <c r="Y49" s="121"/>
      <c r="Z49" s="121">
        <f t="shared" ref="Z49:Z57" si="219">SUM(X49:Y49)</f>
        <v>0</v>
      </c>
      <c r="AA49" s="121"/>
      <c r="AB49" s="121">
        <f t="shared" ref="AB49:AB57" si="220">SUM(Z49:AA49)</f>
        <v>0</v>
      </c>
      <c r="AC49" s="121"/>
      <c r="AD49" s="121">
        <f t="shared" ref="AD49:AD57" si="221">SUM(AB49:AC49)</f>
        <v>0</v>
      </c>
      <c r="AE49" s="121"/>
      <c r="AF49" s="121">
        <f t="shared" ref="AF49:AF57" si="222">SUM(AD49:AE49)</f>
        <v>0</v>
      </c>
      <c r="AL49"/>
      <c r="AM49"/>
      <c r="AN49"/>
      <c r="AO49"/>
      <c r="AP49"/>
      <c r="AQ49"/>
      <c r="AR49"/>
      <c r="AS49"/>
      <c r="AT49"/>
      <c r="AU49"/>
      <c r="AV49"/>
      <c r="AW49"/>
      <c r="AX49"/>
      <c r="AY49"/>
      <c r="AZ49"/>
      <c r="BA49"/>
      <c r="BB49"/>
      <c r="BD49"/>
      <c r="BE49"/>
      <c r="BF49"/>
      <c r="BG49"/>
      <c r="BH49"/>
      <c r="BI49"/>
      <c r="BJ49"/>
      <c r="BK49"/>
      <c r="BL49"/>
      <c r="BM49"/>
      <c r="BN49"/>
      <c r="BO49"/>
      <c r="BP49"/>
      <c r="BQ49"/>
      <c r="BR49"/>
      <c r="BS49"/>
      <c r="BT49"/>
      <c r="BV49"/>
      <c r="BW49"/>
      <c r="BX49"/>
      <c r="BY49"/>
      <c r="BZ49"/>
      <c r="CA49"/>
      <c r="CB49"/>
      <c r="IS49"/>
      <c r="IT49"/>
      <c r="IU49"/>
      <c r="IV49"/>
      <c r="IW49"/>
      <c r="IX49"/>
      <c r="IY49"/>
      <c r="IZ49"/>
      <c r="JK49"/>
      <c r="JL49"/>
      <c r="JM49"/>
      <c r="JN49"/>
      <c r="JO49"/>
      <c r="JP49"/>
      <c r="JQ49"/>
      <c r="JR49"/>
      <c r="JS49"/>
      <c r="JT49"/>
      <c r="JU49"/>
      <c r="JV49"/>
      <c r="JW49"/>
      <c r="JX49"/>
      <c r="JY49"/>
      <c r="JZ49"/>
      <c r="KA49"/>
      <c r="KB49"/>
      <c r="NP49" s="397"/>
      <c r="OC49" s="864"/>
      <c r="OD49" s="864"/>
      <c r="OE49" s="864"/>
      <c r="OF49" s="864"/>
      <c r="OZ49" s="769" t="s">
        <v>80</v>
      </c>
      <c r="PA49" s="112"/>
      <c r="PB49" s="784"/>
      <c r="PC49" s="784"/>
      <c r="PD49" s="784"/>
      <c r="PE49" s="784"/>
      <c r="PF49" s="784"/>
      <c r="PG49" s="784"/>
      <c r="PH49" s="784"/>
      <c r="PI49" s="784"/>
      <c r="PJ49" s="784"/>
      <c r="PK49" s="785"/>
      <c r="PL49" s="775"/>
      <c r="PQ49"/>
      <c r="PR49"/>
      <c r="PS49"/>
      <c r="PT49"/>
      <c r="PU49"/>
      <c r="PV49"/>
      <c r="PW49"/>
      <c r="PX49"/>
      <c r="PY49"/>
      <c r="PZ49"/>
      <c r="QA49"/>
      <c r="QB49"/>
      <c r="QC49"/>
      <c r="QD49"/>
      <c r="QE49"/>
      <c r="QF49"/>
      <c r="QG49"/>
      <c r="QH49"/>
      <c r="RY49" s="1"/>
      <c r="RZ49" s="1"/>
      <c r="SA49" s="1"/>
      <c r="SB49" s="1"/>
      <c r="SC49" s="1"/>
      <c r="SD49" s="1"/>
      <c r="SE49" s="1"/>
      <c r="SF49" s="1"/>
      <c r="SG49" s="1"/>
      <c r="SH49" s="1"/>
      <c r="SI49" s="1"/>
      <c r="SJ49" s="1"/>
      <c r="SK49" s="1"/>
      <c r="SL49" s="336">
        <f>ROW()</f>
        <v>49</v>
      </c>
      <c r="SM49" s="329" t="s">
        <v>872</v>
      </c>
      <c r="SN49" s="338"/>
      <c r="SO49" s="371"/>
      <c r="SP49" s="371"/>
      <c r="SQ49" s="371"/>
      <c r="SR49" s="371">
        <f t="shared" ref="SR49:SY49" si="223">SUM(SR46:SR48)</f>
        <v>52899028.379999995</v>
      </c>
      <c r="SS49" s="371">
        <f t="shared" si="223"/>
        <v>52899028.379999995</v>
      </c>
      <c r="ST49" s="371">
        <f t="shared" si="223"/>
        <v>85035899.859999985</v>
      </c>
      <c r="SU49" s="371">
        <f t="shared" si="223"/>
        <v>137934928.23999998</v>
      </c>
      <c r="SV49" s="371">
        <f t="shared" si="223"/>
        <v>24244937.780000035</v>
      </c>
      <c r="SW49" s="371">
        <f t="shared" si="223"/>
        <v>162179866.02000004</v>
      </c>
      <c r="SX49" s="371">
        <f t="shared" si="223"/>
        <v>43611657.550000012</v>
      </c>
      <c r="SY49" s="371">
        <f t="shared" si="223"/>
        <v>205791523.57000005</v>
      </c>
      <c r="SZ49" s="371"/>
      <c r="TA49" s="371"/>
      <c r="TB49" s="574"/>
      <c r="TC49" s="574"/>
      <c r="TG49" s="329"/>
      <c r="TH49" s="329"/>
      <c r="TI49" s="329"/>
      <c r="TJ49" s="329"/>
      <c r="TK49" s="329"/>
      <c r="TL49" s="329"/>
      <c r="TM49" s="329"/>
      <c r="TN49" s="329"/>
      <c r="TO49" s="329"/>
      <c r="TP49" s="329"/>
      <c r="TQ49" s="329"/>
      <c r="TR49" s="329"/>
      <c r="TS49" s="329"/>
      <c r="TT49" s="329"/>
      <c r="TU49" s="329"/>
      <c r="TV49" s="329"/>
      <c r="TW49"/>
      <c r="TY49" s="1099"/>
      <c r="TZ49" s="996"/>
      <c r="UA49" s="724"/>
      <c r="UB49" s="724"/>
    </row>
    <row r="50" spans="1:548" ht="15" thickTop="1" x14ac:dyDescent="0.35">
      <c r="A50" s="111">
        <f>ROW()</f>
        <v>50</v>
      </c>
      <c r="B50" t="s">
        <v>1527</v>
      </c>
      <c r="C50" s="1188" t="s">
        <v>1869</v>
      </c>
      <c r="D50" s="759"/>
      <c r="E50" s="1196">
        <f>'GAS COS Revenues'!$D$38</f>
        <v>1270884.8999999999</v>
      </c>
      <c r="F50" s="1189"/>
      <c r="G50" s="1193"/>
      <c r="H50" s="1189"/>
      <c r="I50" s="189"/>
      <c r="J50" s="189"/>
      <c r="K50" s="189"/>
      <c r="L50" s="189"/>
      <c r="M50" s="189"/>
      <c r="N50" s="189"/>
      <c r="O50" s="189"/>
      <c r="P50" s="189"/>
      <c r="Q50" s="189"/>
      <c r="R50" s="189"/>
      <c r="S50" s="111">
        <f>ROW()</f>
        <v>50</v>
      </c>
      <c r="T50" s="238" t="s">
        <v>982</v>
      </c>
      <c r="U50" s="588">
        <f>SUM(V50:V54,-V23)/SUM(V22)</f>
        <v>0.94757432843389833</v>
      </c>
      <c r="V50" s="121">
        <v>613110</v>
      </c>
      <c r="W50" s="134">
        <f t="shared" si="217"/>
        <v>-613110</v>
      </c>
      <c r="X50" s="121">
        <f t="shared" si="218"/>
        <v>0</v>
      </c>
      <c r="Y50" s="121"/>
      <c r="Z50" s="121">
        <f t="shared" si="219"/>
        <v>0</v>
      </c>
      <c r="AA50" s="121"/>
      <c r="AB50" s="121">
        <f t="shared" si="220"/>
        <v>0</v>
      </c>
      <c r="AC50" s="121"/>
      <c r="AD50" s="121">
        <f t="shared" si="221"/>
        <v>0</v>
      </c>
      <c r="AE50" s="121"/>
      <c r="AF50" s="121">
        <f t="shared" si="222"/>
        <v>0</v>
      </c>
      <c r="AL50"/>
      <c r="AM50"/>
      <c r="AN50"/>
      <c r="AO50"/>
      <c r="AP50"/>
      <c r="AQ50"/>
      <c r="AR50"/>
      <c r="AS50"/>
      <c r="AT50"/>
      <c r="AU50"/>
      <c r="AV50"/>
      <c r="AW50"/>
      <c r="AX50"/>
      <c r="AY50"/>
      <c r="AZ50"/>
      <c r="BA50"/>
      <c r="BB50"/>
      <c r="BD50"/>
      <c r="BE50"/>
      <c r="BF50"/>
      <c r="BG50"/>
      <c r="BH50"/>
      <c r="BI50"/>
      <c r="BJ50"/>
      <c r="BK50"/>
      <c r="BL50"/>
      <c r="BM50"/>
      <c r="BN50"/>
      <c r="BO50"/>
      <c r="BP50"/>
      <c r="BQ50"/>
      <c r="BR50"/>
      <c r="BS50"/>
      <c r="BT50"/>
      <c r="BV50"/>
      <c r="BW50"/>
      <c r="BX50"/>
      <c r="BY50"/>
      <c r="BZ50"/>
      <c r="CA50"/>
      <c r="CB50"/>
      <c r="IS50"/>
      <c r="IT50"/>
      <c r="IU50"/>
      <c r="IV50"/>
      <c r="IW50"/>
      <c r="IX50"/>
      <c r="IY50"/>
      <c r="IZ50"/>
      <c r="JK50"/>
      <c r="JL50"/>
      <c r="JM50"/>
      <c r="JN50"/>
      <c r="JO50"/>
      <c r="JP50"/>
      <c r="JQ50"/>
      <c r="JR50"/>
      <c r="JS50"/>
      <c r="JT50"/>
      <c r="JU50"/>
      <c r="JV50"/>
      <c r="JW50"/>
      <c r="JX50"/>
      <c r="JY50"/>
      <c r="JZ50"/>
      <c r="KA50"/>
      <c r="KB50"/>
      <c r="NP50" s="397"/>
      <c r="OC50" s="864"/>
      <c r="OD50" s="864"/>
      <c r="OE50" s="864"/>
      <c r="OF50" s="864"/>
      <c r="OZ50" s="618" t="s">
        <v>1568</v>
      </c>
      <c r="PB50" s="267">
        <f>+PB38-PB48-PB44</f>
        <v>3670027.7815140001</v>
      </c>
      <c r="PC50" s="267">
        <f t="shared" ref="PC50:PL50" si="224">+PC38-PC48-PC44</f>
        <v>-3670027.7815140001</v>
      </c>
      <c r="PD50" s="267">
        <f t="shared" si="224"/>
        <v>0</v>
      </c>
      <c r="PE50" s="267">
        <f t="shared" si="224"/>
        <v>0</v>
      </c>
      <c r="PF50" s="267">
        <f t="shared" si="224"/>
        <v>0</v>
      </c>
      <c r="PG50" s="267">
        <f t="shared" si="224"/>
        <v>0</v>
      </c>
      <c r="PH50" s="267">
        <f t="shared" si="224"/>
        <v>0</v>
      </c>
      <c r="PI50" s="267">
        <f t="shared" si="224"/>
        <v>-4718449.8108259197</v>
      </c>
      <c r="PJ50" s="267">
        <f t="shared" si="224"/>
        <v>-4718449.8108259197</v>
      </c>
      <c r="PK50" s="267">
        <f t="shared" si="224"/>
        <v>0</v>
      </c>
      <c r="PL50" s="267">
        <f t="shared" si="224"/>
        <v>-4718449.8108259197</v>
      </c>
      <c r="PR50" s="241"/>
      <c r="PS50" s="241"/>
      <c r="PT50" s="241"/>
      <c r="PU50" s="241"/>
      <c r="PV50" s="241"/>
      <c r="PW50" s="241"/>
      <c r="PX50" s="241"/>
      <c r="PY50" s="241"/>
      <c r="PZ50" s="241"/>
      <c r="QA50" s="241"/>
      <c r="QB50" s="241"/>
      <c r="QC50" s="241"/>
      <c r="QD50"/>
      <c r="QE50"/>
      <c r="QF50"/>
      <c r="QG50"/>
      <c r="QH50"/>
      <c r="RY50" s="1"/>
      <c r="RZ50" s="1"/>
      <c r="SA50" s="1"/>
      <c r="SB50" s="1"/>
      <c r="SC50" s="1"/>
      <c r="SD50" s="1"/>
      <c r="SE50" s="1"/>
      <c r="SF50" s="1"/>
      <c r="SG50" s="1"/>
      <c r="SH50" s="1"/>
      <c r="SI50" s="1"/>
      <c r="SJ50" s="1"/>
      <c r="SK50" s="1"/>
      <c r="SL50" s="336">
        <f>ROW()</f>
        <v>50</v>
      </c>
      <c r="SM50" s="329"/>
      <c r="SN50" s="338"/>
      <c r="SO50" s="341"/>
      <c r="SP50" s="341"/>
      <c r="SQ50" s="341"/>
      <c r="SR50" s="341"/>
      <c r="SS50" s="341"/>
      <c r="ST50" s="341"/>
      <c r="SU50" s="341"/>
      <c r="SV50" s="341"/>
      <c r="SW50" s="341"/>
      <c r="SX50" s="341"/>
      <c r="SY50" s="341"/>
      <c r="SZ50" s="341"/>
      <c r="TA50" s="341"/>
      <c r="TB50" s="341"/>
      <c r="TC50" s="341"/>
      <c r="TG50" s="329"/>
      <c r="TH50" s="329"/>
      <c r="TI50" s="329"/>
      <c r="TJ50" s="329"/>
      <c r="TK50" s="329"/>
      <c r="TL50" s="329"/>
      <c r="TM50" s="329"/>
      <c r="TN50" s="329"/>
      <c r="TO50" s="329"/>
      <c r="TP50" s="329"/>
      <c r="TQ50" s="329"/>
      <c r="TR50" s="329"/>
      <c r="TS50" s="329"/>
      <c r="TT50" s="329"/>
      <c r="TU50" s="329"/>
      <c r="TV50" s="329"/>
      <c r="TW50"/>
      <c r="TY50" s="1099"/>
      <c r="TZ50" s="996"/>
      <c r="UA50" s="998"/>
      <c r="UB50" s="724"/>
    </row>
    <row r="51" spans="1:548" x14ac:dyDescent="0.35">
      <c r="A51" s="111">
        <f>ROW()</f>
        <v>51</v>
      </c>
      <c r="B51"/>
      <c r="D51" s="759"/>
      <c r="E51" s="1196"/>
      <c r="F51" s="1189"/>
      <c r="G51" s="1193"/>
      <c r="H51" s="1189"/>
      <c r="I51" s="189"/>
      <c r="J51" s="189"/>
      <c r="K51" s="189"/>
      <c r="L51" s="189"/>
      <c r="M51" s="189"/>
      <c r="N51" s="189"/>
      <c r="O51" s="189"/>
      <c r="P51" s="189"/>
      <c r="Q51" s="189"/>
      <c r="R51" s="189"/>
      <c r="S51" s="111">
        <f>ROW()</f>
        <v>51</v>
      </c>
      <c r="T51" s="238" t="s">
        <v>981</v>
      </c>
      <c r="U51" s="590"/>
      <c r="V51" s="121">
        <v>50107.31</v>
      </c>
      <c r="W51" s="134">
        <f t="shared" si="217"/>
        <v>-50107.31</v>
      </c>
      <c r="X51" s="121">
        <f t="shared" si="218"/>
        <v>0</v>
      </c>
      <c r="Y51" s="121"/>
      <c r="Z51" s="121">
        <f t="shared" si="219"/>
        <v>0</v>
      </c>
      <c r="AA51" s="121"/>
      <c r="AB51" s="121">
        <f t="shared" si="220"/>
        <v>0</v>
      </c>
      <c r="AC51" s="121"/>
      <c r="AD51" s="121">
        <f t="shared" si="221"/>
        <v>0</v>
      </c>
      <c r="AE51" s="121"/>
      <c r="AF51" s="121">
        <f t="shared" si="222"/>
        <v>0</v>
      </c>
      <c r="AL51"/>
      <c r="AM51"/>
      <c r="AN51"/>
      <c r="AO51"/>
      <c r="AP51"/>
      <c r="AQ51"/>
      <c r="AR51"/>
      <c r="AS51"/>
      <c r="AT51"/>
      <c r="AU51"/>
      <c r="AV51"/>
      <c r="AW51"/>
      <c r="AX51"/>
      <c r="AY51"/>
      <c r="AZ51"/>
      <c r="BA51"/>
      <c r="BB51"/>
      <c r="BD51"/>
      <c r="BE51"/>
      <c r="BF51"/>
      <c r="BG51"/>
      <c r="BH51"/>
      <c r="BI51"/>
      <c r="BJ51"/>
      <c r="BK51"/>
      <c r="BL51"/>
      <c r="BM51"/>
      <c r="BN51"/>
      <c r="BO51"/>
      <c r="BP51"/>
      <c r="BQ51"/>
      <c r="BR51"/>
      <c r="BS51"/>
      <c r="BT51"/>
      <c r="BV51"/>
      <c r="BW51"/>
      <c r="BX51"/>
      <c r="BY51"/>
      <c r="BZ51"/>
      <c r="CA51"/>
      <c r="CB51"/>
      <c r="IS51"/>
      <c r="IT51"/>
      <c r="IU51"/>
      <c r="IV51"/>
      <c r="IW51"/>
      <c r="IX51"/>
      <c r="IY51"/>
      <c r="IZ51"/>
      <c r="JK51"/>
      <c r="JL51"/>
      <c r="JM51"/>
      <c r="JN51"/>
      <c r="JO51"/>
      <c r="JP51"/>
      <c r="JQ51"/>
      <c r="JR51"/>
      <c r="JS51"/>
      <c r="JT51"/>
      <c r="JU51"/>
      <c r="JV51"/>
      <c r="JW51"/>
      <c r="JX51"/>
      <c r="JY51"/>
      <c r="JZ51"/>
      <c r="KA51"/>
      <c r="KB51"/>
      <c r="NP51" s="397"/>
      <c r="OC51" s="864">
        <v>0</v>
      </c>
      <c r="OD51" s="864">
        <v>0</v>
      </c>
      <c r="OE51" s="864">
        <v>0</v>
      </c>
      <c r="OF51" s="864">
        <v>0</v>
      </c>
      <c r="OW51"/>
      <c r="OX51"/>
      <c r="OY51"/>
      <c r="OZ51" s="618" t="s">
        <v>80</v>
      </c>
      <c r="PA51" s="112"/>
      <c r="PB51" s="603"/>
      <c r="PC51" s="603"/>
      <c r="PD51" s="603"/>
      <c r="PE51" s="603"/>
      <c r="PF51" s="603"/>
      <c r="PG51" s="603"/>
      <c r="PH51" s="603"/>
      <c r="PI51" s="603"/>
      <c r="PJ51" s="603"/>
      <c r="PK51" s="783"/>
      <c r="PL51" s="419"/>
      <c r="PR51" s="241"/>
      <c r="PS51" s="241"/>
      <c r="PT51" s="241"/>
      <c r="PU51" s="241"/>
      <c r="PV51" s="241"/>
      <c r="PW51" s="241"/>
      <c r="PX51" s="241"/>
      <c r="PY51" s="241"/>
      <c r="PZ51" s="241"/>
      <c r="QA51" s="241"/>
      <c r="QB51" s="241"/>
      <c r="QC51" s="241"/>
      <c r="QD51"/>
      <c r="QE51"/>
      <c r="QF51"/>
      <c r="QG51"/>
      <c r="QH51"/>
      <c r="RY51" s="1"/>
      <c r="RZ51" s="1"/>
      <c r="SA51" s="1"/>
      <c r="SB51" s="1"/>
      <c r="SC51" s="1"/>
      <c r="SD51" s="1"/>
      <c r="SE51" s="1"/>
      <c r="SF51" s="1"/>
      <c r="SG51" s="1"/>
      <c r="SH51" s="1"/>
      <c r="SI51" s="1"/>
      <c r="SJ51" s="1"/>
      <c r="SK51" s="1"/>
      <c r="SL51" s="336">
        <f>ROW()</f>
        <v>51</v>
      </c>
      <c r="SM51" s="411" t="s">
        <v>1874</v>
      </c>
      <c r="SN51" s="338"/>
      <c r="SO51" s="341"/>
      <c r="SP51" s="341"/>
      <c r="SQ51" s="341"/>
      <c r="SR51" s="341"/>
      <c r="SS51" s="341"/>
      <c r="ST51" s="341"/>
      <c r="SU51" s="341"/>
      <c r="SV51" s="341"/>
      <c r="SW51" s="341"/>
      <c r="SX51" s="341"/>
      <c r="SY51" s="341"/>
      <c r="SZ51" s="341"/>
      <c r="TA51" s="341"/>
      <c r="TB51" s="341"/>
      <c r="TC51" s="341"/>
      <c r="TK51"/>
      <c r="TL51"/>
      <c r="TM51"/>
      <c r="TN51"/>
      <c r="TO51"/>
      <c r="TP51"/>
      <c r="TQ51"/>
      <c r="TR51"/>
      <c r="TS51"/>
      <c r="TT51"/>
      <c r="TU51"/>
      <c r="TV51"/>
      <c r="TW51"/>
      <c r="TY51" s="1099"/>
      <c r="TZ51" s="1100"/>
      <c r="UA51" s="998"/>
      <c r="UB51" s="998"/>
    </row>
    <row r="52" spans="1:548" x14ac:dyDescent="0.35">
      <c r="A52" s="111">
        <f>ROW()</f>
        <v>52</v>
      </c>
      <c r="B52"/>
      <c r="D52" s="120"/>
      <c r="E52" s="1197"/>
      <c r="F52" s="1189"/>
      <c r="G52" s="1193"/>
      <c r="H52" s="1189"/>
      <c r="I52" s="189"/>
      <c r="J52" s="189"/>
      <c r="K52" s="189"/>
      <c r="L52" s="189"/>
      <c r="M52" s="189"/>
      <c r="N52" s="189"/>
      <c r="O52" s="189"/>
      <c r="P52" s="189"/>
      <c r="Q52" s="189"/>
      <c r="R52" s="189"/>
      <c r="S52" s="111">
        <f>ROW()</f>
        <v>52</v>
      </c>
      <c r="T52" s="238" t="s">
        <v>979</v>
      </c>
      <c r="U52" s="590"/>
      <c r="V52" s="121">
        <v>97927.209999999992</v>
      </c>
      <c r="W52" s="134">
        <f t="shared" si="217"/>
        <v>-97927.209999999992</v>
      </c>
      <c r="X52" s="121">
        <f t="shared" si="218"/>
        <v>0</v>
      </c>
      <c r="Y52" s="121"/>
      <c r="Z52" s="121">
        <f t="shared" si="219"/>
        <v>0</v>
      </c>
      <c r="AA52" s="121"/>
      <c r="AB52" s="121">
        <f t="shared" si="220"/>
        <v>0</v>
      </c>
      <c r="AC52" s="121"/>
      <c r="AD52" s="121">
        <f t="shared" si="221"/>
        <v>0</v>
      </c>
      <c r="AE52" s="121"/>
      <c r="AF52" s="121">
        <f t="shared" si="222"/>
        <v>0</v>
      </c>
      <c r="AL52"/>
      <c r="AM52"/>
      <c r="AN52"/>
      <c r="AO52"/>
      <c r="AP52"/>
      <c r="AQ52"/>
      <c r="AR52"/>
      <c r="AS52"/>
      <c r="AT52"/>
      <c r="AU52"/>
      <c r="AV52"/>
      <c r="AW52"/>
      <c r="AX52"/>
      <c r="AY52"/>
      <c r="AZ52"/>
      <c r="BA52"/>
      <c r="BB52"/>
      <c r="BD52"/>
      <c r="BE52"/>
      <c r="BF52"/>
      <c r="BG52"/>
      <c r="BH52"/>
      <c r="BI52"/>
      <c r="BJ52"/>
      <c r="BK52"/>
      <c r="BL52"/>
      <c r="BM52"/>
      <c r="BN52"/>
      <c r="BO52"/>
      <c r="BP52"/>
      <c r="BQ52"/>
      <c r="BR52"/>
      <c r="BS52"/>
      <c r="BT52"/>
      <c r="BV52"/>
      <c r="BW52"/>
      <c r="BX52"/>
      <c r="BY52"/>
      <c r="BZ52"/>
      <c r="CA52"/>
      <c r="CB52"/>
      <c r="IS52"/>
      <c r="IT52"/>
      <c r="IU52"/>
      <c r="IV52"/>
      <c r="IW52"/>
      <c r="IX52"/>
      <c r="IY52"/>
      <c r="IZ52"/>
      <c r="JK52"/>
      <c r="JL52"/>
      <c r="JM52"/>
      <c r="JN52"/>
      <c r="JO52"/>
      <c r="JP52"/>
      <c r="JQ52"/>
      <c r="JR52"/>
      <c r="JS52"/>
      <c r="JT52"/>
      <c r="JU52"/>
      <c r="JV52"/>
      <c r="JW52"/>
      <c r="JX52"/>
      <c r="JY52"/>
      <c r="JZ52"/>
      <c r="KA52"/>
      <c r="KB52"/>
      <c r="NP52" s="397"/>
      <c r="OW52"/>
      <c r="OX52"/>
      <c r="OY52"/>
      <c r="OZ52" s="618" t="s">
        <v>239</v>
      </c>
      <c r="PA52" s="135">
        <v>0.21</v>
      </c>
      <c r="PB52" s="776">
        <f t="shared" ref="PB52:PL52" si="225">+$PA$52*PB50</f>
        <v>770705.83411794004</v>
      </c>
      <c r="PC52" s="776">
        <f t="shared" si="225"/>
        <v>-770705.83411794004</v>
      </c>
      <c r="PD52" s="776">
        <f t="shared" si="225"/>
        <v>0</v>
      </c>
      <c r="PE52" s="776">
        <f t="shared" si="225"/>
        <v>0</v>
      </c>
      <c r="PF52" s="776">
        <f t="shared" si="225"/>
        <v>0</v>
      </c>
      <c r="PG52" s="776">
        <f t="shared" si="225"/>
        <v>0</v>
      </c>
      <c r="PH52" s="776">
        <f t="shared" si="225"/>
        <v>0</v>
      </c>
      <c r="PI52" s="776">
        <f t="shared" si="225"/>
        <v>-990874.46027344314</v>
      </c>
      <c r="PJ52" s="776">
        <f t="shared" si="225"/>
        <v>-990874.46027344314</v>
      </c>
      <c r="PK52" s="776">
        <f t="shared" si="225"/>
        <v>0</v>
      </c>
      <c r="PL52" s="776">
        <f t="shared" si="225"/>
        <v>-990874.46027344314</v>
      </c>
      <c r="PM52"/>
      <c r="PN52"/>
      <c r="PO52"/>
      <c r="PP52"/>
      <c r="PR52"/>
      <c r="PS52"/>
      <c r="PT52"/>
      <c r="PU52"/>
      <c r="PV52"/>
      <c r="PW52"/>
      <c r="PX52"/>
      <c r="PY52"/>
      <c r="PZ52"/>
      <c r="QA52"/>
      <c r="QB52"/>
      <c r="QC52"/>
      <c r="QD52"/>
      <c r="QE52"/>
      <c r="QF52"/>
      <c r="QG52"/>
      <c r="QH52"/>
      <c r="RY52" s="1"/>
      <c r="RZ52" s="1"/>
      <c r="SA52" s="1"/>
      <c r="SB52" s="1"/>
      <c r="SC52" s="1"/>
      <c r="SD52" s="1"/>
      <c r="SE52" s="1"/>
      <c r="SF52" s="1"/>
      <c r="SG52" s="1"/>
      <c r="SH52" s="1"/>
      <c r="SI52" s="1"/>
      <c r="SJ52" s="1"/>
      <c r="SK52" s="1"/>
      <c r="SL52" s="336">
        <f>ROW()</f>
        <v>52</v>
      </c>
      <c r="SM52" s="329" t="s">
        <v>964</v>
      </c>
      <c r="SN52" s="338"/>
      <c r="SO52" s="361"/>
      <c r="SP52" s="361"/>
      <c r="SQ52" s="361"/>
      <c r="SR52" s="361">
        <v>617.78</v>
      </c>
      <c r="SS52" s="362">
        <f>SR52</f>
        <v>617.78</v>
      </c>
      <c r="ST52" s="362">
        <v>15198.15</v>
      </c>
      <c r="SU52" s="362">
        <f>ST52+SS52</f>
        <v>15815.93</v>
      </c>
      <c r="SV52" s="362">
        <v>449917.27</v>
      </c>
      <c r="SW52" s="362">
        <f>SV52+SU52</f>
        <v>465733.2</v>
      </c>
      <c r="SX52" s="362">
        <v>0</v>
      </c>
      <c r="SY52" s="362">
        <f>SX52+SW52</f>
        <v>465733.2</v>
      </c>
      <c r="SZ52" s="362"/>
      <c r="TA52" s="362"/>
      <c r="TB52" s="576"/>
      <c r="TC52" s="576"/>
      <c r="TK52"/>
      <c r="TL52"/>
      <c r="TM52"/>
      <c r="TN52"/>
      <c r="TO52"/>
      <c r="TP52"/>
      <c r="TQ52"/>
      <c r="TR52"/>
      <c r="TS52"/>
      <c r="TT52"/>
      <c r="TU52"/>
      <c r="TV52"/>
      <c r="TW52"/>
      <c r="TY52" s="1101"/>
      <c r="TZ52" s="1101"/>
      <c r="UA52" s="1102"/>
      <c r="UB52" s="1102"/>
    </row>
    <row r="53" spans="1:548" ht="15" thickBot="1" x14ac:dyDescent="0.4">
      <c r="A53" s="111">
        <f>ROW()</f>
        <v>53</v>
      </c>
      <c r="B53" t="s">
        <v>1528</v>
      </c>
      <c r="C53" s="1188" t="s">
        <v>1869</v>
      </c>
      <c r="D53" s="759"/>
      <c r="E53" s="1196">
        <f>'GAS COS Revenues'!$D$47</f>
        <v>-2661743.88</v>
      </c>
      <c r="F53" s="1198"/>
      <c r="G53" s="1193"/>
      <c r="H53" s="1198"/>
      <c r="I53" s="189"/>
      <c r="J53" s="189"/>
      <c r="K53" s="189"/>
      <c r="L53" s="189"/>
      <c r="M53" s="189"/>
      <c r="N53" s="189"/>
      <c r="O53" s="189"/>
      <c r="P53" s="189"/>
      <c r="Q53" s="189"/>
      <c r="R53" s="189"/>
      <c r="S53" s="111">
        <f>ROW()</f>
        <v>53</v>
      </c>
      <c r="T53" s="238" t="s">
        <v>1665</v>
      </c>
      <c r="U53" s="590"/>
      <c r="V53" s="121">
        <v>5959.67</v>
      </c>
      <c r="W53" s="134">
        <f t="shared" si="217"/>
        <v>-5959.67</v>
      </c>
      <c r="AL53"/>
      <c r="AM53"/>
      <c r="AN53"/>
      <c r="AO53"/>
      <c r="AP53"/>
      <c r="AQ53"/>
      <c r="AR53"/>
      <c r="AS53"/>
      <c r="AT53"/>
      <c r="AU53"/>
      <c r="AV53"/>
      <c r="AW53"/>
      <c r="AX53"/>
      <c r="AY53"/>
      <c r="AZ53"/>
      <c r="BA53"/>
      <c r="BB53"/>
      <c r="BD53"/>
      <c r="BE53"/>
      <c r="BF53"/>
      <c r="BG53"/>
      <c r="BH53"/>
      <c r="BI53"/>
      <c r="BJ53"/>
      <c r="BK53"/>
      <c r="BL53"/>
      <c r="BM53"/>
      <c r="BN53"/>
      <c r="BO53"/>
      <c r="BP53"/>
      <c r="BQ53"/>
      <c r="BR53"/>
      <c r="BS53"/>
      <c r="BT53"/>
      <c r="BV53"/>
      <c r="BW53"/>
      <c r="BX53"/>
      <c r="BY53"/>
      <c r="BZ53"/>
      <c r="CA53"/>
      <c r="CB53"/>
      <c r="IS53"/>
      <c r="IT53"/>
      <c r="IU53"/>
      <c r="IV53"/>
      <c r="IW53"/>
      <c r="IX53"/>
      <c r="IY53"/>
      <c r="IZ53"/>
      <c r="JK53"/>
      <c r="JL53"/>
      <c r="JM53"/>
      <c r="JN53"/>
      <c r="JO53"/>
      <c r="JP53"/>
      <c r="JQ53"/>
      <c r="JR53"/>
      <c r="JS53"/>
      <c r="JT53"/>
      <c r="JU53"/>
      <c r="JV53"/>
      <c r="JW53"/>
      <c r="JX53"/>
      <c r="JY53"/>
      <c r="JZ53"/>
      <c r="KA53"/>
      <c r="KB53"/>
      <c r="NP53" s="397"/>
      <c r="OW53"/>
      <c r="OX53"/>
      <c r="OY53"/>
      <c r="OZ53" s="618" t="s">
        <v>224</v>
      </c>
      <c r="PB53" s="777">
        <f>+PB50-PB52</f>
        <v>2899321.94739606</v>
      </c>
      <c r="PC53" s="777">
        <f t="shared" ref="PC53:PL53" si="226">+PC50-PC52</f>
        <v>-2899321.94739606</v>
      </c>
      <c r="PD53" s="777">
        <f t="shared" si="226"/>
        <v>0</v>
      </c>
      <c r="PE53" s="777">
        <f t="shared" si="226"/>
        <v>0</v>
      </c>
      <c r="PF53" s="777">
        <f t="shared" si="226"/>
        <v>0</v>
      </c>
      <c r="PG53" s="777">
        <f t="shared" si="226"/>
        <v>0</v>
      </c>
      <c r="PH53" s="777">
        <f t="shared" si="226"/>
        <v>0</v>
      </c>
      <c r="PI53" s="777">
        <f t="shared" si="226"/>
        <v>-3727575.3505524765</v>
      </c>
      <c r="PJ53" s="777">
        <f t="shared" si="226"/>
        <v>-3727575.3505524765</v>
      </c>
      <c r="PK53" s="777">
        <f t="shared" si="226"/>
        <v>0</v>
      </c>
      <c r="PL53" s="777">
        <f t="shared" si="226"/>
        <v>-3727575.3505524765</v>
      </c>
      <c r="PM53"/>
      <c r="PN53"/>
      <c r="PO53"/>
      <c r="PP53"/>
      <c r="PR53"/>
      <c r="PS53"/>
      <c r="PT53"/>
      <c r="PU53"/>
      <c r="PV53"/>
      <c r="PW53"/>
      <c r="PX53"/>
      <c r="PY53"/>
      <c r="PZ53"/>
      <c r="QA53"/>
      <c r="QB53"/>
      <c r="QC53"/>
      <c r="QD53"/>
      <c r="QE53"/>
      <c r="QF53"/>
      <c r="QG53"/>
      <c r="QH53"/>
      <c r="RY53" s="1"/>
      <c r="RZ53" s="1"/>
      <c r="SA53" s="1"/>
      <c r="SB53" s="1"/>
      <c r="SC53" s="1"/>
      <c r="SD53" s="1"/>
      <c r="SE53" s="1"/>
      <c r="SF53" s="1"/>
      <c r="SG53" s="1"/>
      <c r="SH53" s="1"/>
      <c r="SI53" s="1"/>
      <c r="SJ53" s="1"/>
      <c r="SK53" s="1"/>
      <c r="SL53" s="336">
        <f>ROW()</f>
        <v>53</v>
      </c>
      <c r="SM53" s="329" t="s">
        <v>963</v>
      </c>
      <c r="SN53" s="338"/>
      <c r="SO53" s="265"/>
      <c r="SP53" s="265"/>
      <c r="SQ53" s="265"/>
      <c r="SR53" s="265">
        <v>0</v>
      </c>
      <c r="SS53" s="356">
        <f>SR53</f>
        <v>0</v>
      </c>
      <c r="ST53" s="356">
        <v>0</v>
      </c>
      <c r="SU53" s="356">
        <f>ST53+SS53</f>
        <v>0</v>
      </c>
      <c r="SV53" s="356">
        <v>0</v>
      </c>
      <c r="SW53" s="356">
        <f>SV53+SU53</f>
        <v>0</v>
      </c>
      <c r="SX53" s="356">
        <v>0</v>
      </c>
      <c r="SY53" s="356">
        <f>SX53+SW53</f>
        <v>0</v>
      </c>
      <c r="SZ53" s="356"/>
      <c r="TA53" s="356"/>
      <c r="TB53" s="525"/>
      <c r="TC53" s="525"/>
      <c r="TK53"/>
      <c r="TL53"/>
      <c r="TM53"/>
      <c r="TN53"/>
      <c r="TO53"/>
      <c r="TP53"/>
      <c r="TQ53"/>
      <c r="TR53"/>
      <c r="TS53"/>
      <c r="TT53"/>
      <c r="TU53"/>
      <c r="TV53"/>
      <c r="TW53"/>
      <c r="UA53" s="114"/>
      <c r="UB53" s="114"/>
    </row>
    <row r="54" spans="1:548" ht="15" thickTop="1" x14ac:dyDescent="0.35">
      <c r="A54" s="111">
        <f>ROW()</f>
        <v>54</v>
      </c>
      <c r="B54" s="249" t="s">
        <v>980</v>
      </c>
      <c r="D54" s="591">
        <f t="shared" ref="D54" si="227">SUM(D40:D53)</f>
        <v>0</v>
      </c>
      <c r="E54" s="890">
        <f t="shared" ref="E54:R54" si="228">SUM(E40:E53)</f>
        <v>111532.00999999978</v>
      </c>
      <c r="F54" s="591">
        <f t="shared" si="228"/>
        <v>0</v>
      </c>
      <c r="G54" s="591">
        <f t="shared" si="228"/>
        <v>-836935.66999999993</v>
      </c>
      <c r="H54" s="591">
        <f t="shared" si="228"/>
        <v>0</v>
      </c>
      <c r="I54" s="591">
        <f t="shared" si="228"/>
        <v>0</v>
      </c>
      <c r="J54" s="591">
        <f t="shared" si="228"/>
        <v>0</v>
      </c>
      <c r="K54" s="591">
        <f t="shared" si="228"/>
        <v>0</v>
      </c>
      <c r="L54" s="591">
        <f t="shared" si="228"/>
        <v>0</v>
      </c>
      <c r="M54" s="591">
        <f t="shared" si="228"/>
        <v>0</v>
      </c>
      <c r="N54" s="591">
        <f t="shared" si="228"/>
        <v>0</v>
      </c>
      <c r="O54" s="591">
        <f t="shared" ref="O54:P54" si="229">SUM(O40:O53)</f>
        <v>0</v>
      </c>
      <c r="P54" s="591">
        <f t="shared" si="229"/>
        <v>0</v>
      </c>
      <c r="Q54" s="591">
        <f t="shared" si="228"/>
        <v>0</v>
      </c>
      <c r="R54" s="591">
        <f t="shared" si="228"/>
        <v>0</v>
      </c>
      <c r="S54" s="111">
        <f>ROW()</f>
        <v>54</v>
      </c>
      <c r="T54" s="238" t="s">
        <v>1666</v>
      </c>
      <c r="U54" s="590"/>
      <c r="V54" s="121">
        <v>20088.8</v>
      </c>
      <c r="W54" s="134">
        <f t="shared" si="217"/>
        <v>-20088.8</v>
      </c>
      <c r="AL54"/>
      <c r="AM54"/>
      <c r="AN54"/>
      <c r="AO54"/>
      <c r="AP54"/>
      <c r="AQ54"/>
      <c r="AR54"/>
      <c r="AS54"/>
      <c r="AT54"/>
      <c r="AU54"/>
      <c r="AV54"/>
      <c r="AW54"/>
      <c r="AX54"/>
      <c r="AY54"/>
      <c r="AZ54"/>
      <c r="BA54"/>
      <c r="BB54"/>
      <c r="BD54"/>
      <c r="BE54"/>
      <c r="BF54"/>
      <c r="BG54"/>
      <c r="BH54"/>
      <c r="BI54"/>
      <c r="BJ54"/>
      <c r="BK54"/>
      <c r="BL54"/>
      <c r="BM54"/>
      <c r="BN54"/>
      <c r="BO54"/>
      <c r="BP54"/>
      <c r="BQ54"/>
      <c r="BR54"/>
      <c r="BS54"/>
      <c r="BT54"/>
      <c r="BV54"/>
      <c r="BW54"/>
      <c r="BX54"/>
      <c r="BY54"/>
      <c r="BZ54"/>
      <c r="CA54"/>
      <c r="CB54"/>
      <c r="IS54"/>
      <c r="IT54"/>
      <c r="IU54"/>
      <c r="IV54"/>
      <c r="IW54"/>
      <c r="IX54"/>
      <c r="IY54"/>
      <c r="IZ54"/>
      <c r="JK54"/>
      <c r="JL54"/>
      <c r="JM54"/>
      <c r="JN54"/>
      <c r="JO54"/>
      <c r="JP54"/>
      <c r="JQ54"/>
      <c r="JR54"/>
      <c r="JS54"/>
      <c r="JT54"/>
      <c r="JU54"/>
      <c r="JV54"/>
      <c r="JW54"/>
      <c r="JX54"/>
      <c r="JY54"/>
      <c r="JZ54"/>
      <c r="KA54"/>
      <c r="KB54"/>
      <c r="NP54" s="397"/>
      <c r="OW54"/>
      <c r="OX54"/>
      <c r="OY54"/>
      <c r="OZ54"/>
      <c r="PA54"/>
      <c r="PB54" s="593"/>
      <c r="PC54" s="593"/>
      <c r="PD54" s="593"/>
      <c r="PE54" s="593"/>
      <c r="PF54" s="593"/>
      <c r="PG54" s="593"/>
      <c r="PH54" s="593"/>
      <c r="PI54" s="593"/>
      <c r="PJ54" s="593"/>
      <c r="PK54" s="593"/>
      <c r="PL54"/>
      <c r="PM54"/>
      <c r="PN54"/>
      <c r="PO54"/>
      <c r="PP54"/>
      <c r="PR54"/>
      <c r="PS54"/>
      <c r="PT54"/>
      <c r="PU54"/>
      <c r="PV54"/>
      <c r="PW54"/>
      <c r="PX54"/>
      <c r="PY54"/>
      <c r="PZ54"/>
      <c r="QA54"/>
      <c r="QB54"/>
      <c r="QC54"/>
      <c r="QD54"/>
      <c r="QE54"/>
      <c r="QF54"/>
      <c r="QG54"/>
      <c r="QH54"/>
      <c r="RY54" s="1"/>
      <c r="RZ54" s="1"/>
      <c r="SA54" s="1"/>
      <c r="SB54" s="1"/>
      <c r="SC54" s="1"/>
      <c r="SD54" s="1"/>
      <c r="SE54" s="1"/>
      <c r="SF54" s="1"/>
      <c r="SG54" s="1"/>
      <c r="SH54" s="1"/>
      <c r="SI54" s="1"/>
      <c r="SJ54" s="1"/>
      <c r="SK54" s="1"/>
      <c r="SL54" s="336">
        <f>ROW()</f>
        <v>54</v>
      </c>
      <c r="SM54" s="329" t="s">
        <v>962</v>
      </c>
      <c r="SN54" s="338"/>
      <c r="SO54" s="265"/>
      <c r="SP54" s="265"/>
      <c r="SQ54" s="265"/>
      <c r="SR54" s="265">
        <v>0</v>
      </c>
      <c r="SS54" s="356">
        <f>SR54</f>
        <v>0</v>
      </c>
      <c r="ST54" s="356">
        <v>0</v>
      </c>
      <c r="SU54" s="356">
        <f>ST54+SS54</f>
        <v>0</v>
      </c>
      <c r="SV54" s="356">
        <v>0</v>
      </c>
      <c r="SW54" s="356">
        <f>SV54+SU54</f>
        <v>0</v>
      </c>
      <c r="SX54" s="356">
        <v>0</v>
      </c>
      <c r="SY54" s="356">
        <f>SX54+SW54</f>
        <v>0</v>
      </c>
      <c r="SZ54" s="356"/>
      <c r="TA54" s="356"/>
      <c r="TB54" s="525"/>
      <c r="TC54" s="525"/>
      <c r="TK54"/>
      <c r="TL54"/>
      <c r="TM54"/>
      <c r="TN54"/>
      <c r="TO54"/>
      <c r="TP54"/>
      <c r="TQ54"/>
      <c r="TR54"/>
      <c r="TS54"/>
      <c r="TT54"/>
      <c r="TU54"/>
      <c r="TV54"/>
      <c r="TW54"/>
    </row>
    <row r="55" spans="1:548" x14ac:dyDescent="0.35">
      <c r="A55" s="111">
        <f>ROW()</f>
        <v>55</v>
      </c>
      <c r="B55" s="249"/>
      <c r="D55" s="189"/>
      <c r="E55" s="189"/>
      <c r="F55" s="189"/>
      <c r="G55" s="189"/>
      <c r="H55" s="189"/>
      <c r="I55" s="189"/>
      <c r="J55" s="189"/>
      <c r="K55" s="189"/>
      <c r="L55" s="189"/>
      <c r="M55" s="189"/>
      <c r="N55" s="189"/>
      <c r="O55" s="189"/>
      <c r="P55" s="189"/>
      <c r="Q55" s="189"/>
      <c r="R55" s="189"/>
      <c r="S55" s="111">
        <f>ROW()</f>
        <v>55</v>
      </c>
      <c r="T55" s="238" t="s">
        <v>1025</v>
      </c>
      <c r="U55" s="588">
        <f>SUM(V55:V59,-V25)/SUM(V24)</f>
        <v>1.1932720120687588</v>
      </c>
      <c r="V55" s="121">
        <v>563886.96</v>
      </c>
      <c r="W55" s="134">
        <f t="shared" si="217"/>
        <v>-563886.96</v>
      </c>
      <c r="X55" s="121">
        <f t="shared" si="218"/>
        <v>0</v>
      </c>
      <c r="Y55" s="121"/>
      <c r="Z55" s="121">
        <f t="shared" si="219"/>
        <v>0</v>
      </c>
      <c r="AA55" s="121"/>
      <c r="AB55" s="121">
        <f t="shared" si="220"/>
        <v>0</v>
      </c>
      <c r="AC55" s="121"/>
      <c r="AD55" s="121">
        <f t="shared" si="221"/>
        <v>0</v>
      </c>
      <c r="AE55" s="121"/>
      <c r="AF55" s="121">
        <f t="shared" si="222"/>
        <v>0</v>
      </c>
      <c r="AL55"/>
      <c r="AM55"/>
      <c r="AN55"/>
      <c r="AO55"/>
      <c r="AP55"/>
      <c r="AQ55"/>
      <c r="AR55"/>
      <c r="AS55"/>
      <c r="AT55"/>
      <c r="AU55"/>
      <c r="AV55"/>
      <c r="AW55"/>
      <c r="AX55"/>
      <c r="AY55"/>
      <c r="AZ55"/>
      <c r="BA55"/>
      <c r="BB55"/>
      <c r="BD55"/>
      <c r="BE55"/>
      <c r="BF55"/>
      <c r="BG55"/>
      <c r="BH55"/>
      <c r="BI55"/>
      <c r="BJ55"/>
      <c r="BK55"/>
      <c r="BL55"/>
      <c r="BM55"/>
      <c r="BN55"/>
      <c r="BO55"/>
      <c r="BP55"/>
      <c r="BQ55"/>
      <c r="BR55"/>
      <c r="BS55"/>
      <c r="BT55"/>
      <c r="BV55"/>
      <c r="BW55"/>
      <c r="BX55"/>
      <c r="BY55"/>
      <c r="BZ55"/>
      <c r="CA55"/>
      <c r="CB55"/>
      <c r="IS55"/>
      <c r="IT55"/>
      <c r="IU55"/>
      <c r="IV55"/>
      <c r="IW55"/>
      <c r="IX55"/>
      <c r="IY55"/>
      <c r="IZ55"/>
      <c r="JK55"/>
      <c r="JL55"/>
      <c r="JM55"/>
      <c r="JN55"/>
      <c r="JO55"/>
      <c r="JP55"/>
      <c r="JQ55"/>
      <c r="JR55"/>
      <c r="JS55"/>
      <c r="JT55"/>
      <c r="JU55"/>
      <c r="JV55"/>
      <c r="JW55"/>
      <c r="JX55"/>
      <c r="JY55"/>
      <c r="JZ55"/>
      <c r="KA55"/>
      <c r="KB55"/>
      <c r="NP55" s="397"/>
      <c r="OC55" s="864"/>
      <c r="OD55" s="864"/>
      <c r="OE55" s="864"/>
      <c r="OF55" s="864"/>
      <c r="OW55"/>
      <c r="OX55"/>
      <c r="OY55"/>
      <c r="OZ55"/>
      <c r="PA55"/>
      <c r="PB55" s="593"/>
      <c r="PC55" s="593"/>
      <c r="PD55" s="593"/>
      <c r="PE55" s="593"/>
      <c r="PF55" s="593"/>
      <c r="PG55" s="593"/>
      <c r="PH55" s="593"/>
      <c r="PI55" s="593"/>
      <c r="PJ55" s="593"/>
      <c r="PK55" s="593"/>
      <c r="PL55"/>
      <c r="PM55"/>
      <c r="PN55"/>
      <c r="PO55"/>
      <c r="PP55"/>
      <c r="PR55"/>
      <c r="PS55"/>
      <c r="PT55"/>
      <c r="PU55"/>
      <c r="PV55"/>
      <c r="PW55"/>
      <c r="PX55"/>
      <c r="PY55"/>
      <c r="PZ55"/>
      <c r="QA55"/>
      <c r="QB55"/>
      <c r="QC55"/>
      <c r="QD55"/>
      <c r="QE55"/>
      <c r="QF55"/>
      <c r="QG55"/>
      <c r="QH55"/>
      <c r="RY55" s="1"/>
      <c r="RZ55" s="1"/>
      <c r="SA55" s="1"/>
      <c r="SB55" s="1"/>
      <c r="SC55" s="1"/>
      <c r="SD55" s="1"/>
      <c r="SE55" s="1"/>
      <c r="SF55" s="1"/>
      <c r="SG55" s="1"/>
      <c r="SH55" s="1"/>
      <c r="SI55" s="1"/>
      <c r="SJ55" s="1"/>
      <c r="SK55" s="1"/>
      <c r="SL55" s="336">
        <f>ROW()</f>
        <v>55</v>
      </c>
      <c r="SM55" s="329" t="s">
        <v>961</v>
      </c>
      <c r="SN55" s="338"/>
      <c r="SO55" s="368"/>
      <c r="SP55" s="368"/>
      <c r="SQ55" s="368"/>
      <c r="SR55" s="368">
        <v>0</v>
      </c>
      <c r="SS55" s="355">
        <f>SR55</f>
        <v>0</v>
      </c>
      <c r="ST55" s="355">
        <v>0</v>
      </c>
      <c r="SU55" s="355">
        <f>ST55+SS55</f>
        <v>0</v>
      </c>
      <c r="SV55" s="355">
        <v>0</v>
      </c>
      <c r="SW55" s="355">
        <f>SV55+SU55</f>
        <v>0</v>
      </c>
      <c r="SX55" s="355">
        <v>243767.49736000001</v>
      </c>
      <c r="SY55" s="355">
        <f>SX55+SW55</f>
        <v>243767.49736000001</v>
      </c>
      <c r="SZ55" s="355"/>
      <c r="TA55" s="355"/>
      <c r="TB55" s="575"/>
      <c r="TC55" s="575"/>
      <c r="TK55"/>
      <c r="TL55"/>
      <c r="TM55"/>
      <c r="TN55"/>
      <c r="TO55"/>
      <c r="TP55"/>
      <c r="TQ55"/>
      <c r="TR55"/>
      <c r="TS55"/>
      <c r="TT55"/>
      <c r="TU55"/>
      <c r="TV55"/>
      <c r="TW55"/>
    </row>
    <row r="56" spans="1:548" x14ac:dyDescent="0.35">
      <c r="A56" s="110">
        <f>ROW()</f>
        <v>56</v>
      </c>
      <c r="B56" s="586" t="s">
        <v>977</v>
      </c>
      <c r="C56" s="3"/>
      <c r="D56" s="610">
        <f t="shared" ref="D56" si="230">D37+D54</f>
        <v>0</v>
      </c>
      <c r="E56" s="610">
        <f t="shared" ref="E56:R56" si="231">E37+E54</f>
        <v>42764598.153237559</v>
      </c>
      <c r="F56" s="610">
        <f t="shared" si="231"/>
        <v>0</v>
      </c>
      <c r="G56" s="610">
        <f t="shared" si="231"/>
        <v>-58370822.895894624</v>
      </c>
      <c r="H56" s="610">
        <f t="shared" si="231"/>
        <v>0</v>
      </c>
      <c r="I56" s="610">
        <f t="shared" si="231"/>
        <v>202019</v>
      </c>
      <c r="J56" s="610">
        <f t="shared" si="231"/>
        <v>0</v>
      </c>
      <c r="K56" s="610">
        <f t="shared" si="231"/>
        <v>-3604266</v>
      </c>
      <c r="L56" s="610">
        <f t="shared" si="231"/>
        <v>0</v>
      </c>
      <c r="M56" s="610">
        <f t="shared" si="231"/>
        <v>-486743</v>
      </c>
      <c r="N56" s="610">
        <f t="shared" si="231"/>
        <v>0</v>
      </c>
      <c r="O56" s="610">
        <f t="shared" ref="O56:P56" si="232">O37+O54</f>
        <v>0</v>
      </c>
      <c r="P56" s="610">
        <f t="shared" si="232"/>
        <v>0</v>
      </c>
      <c r="Q56" s="610">
        <f t="shared" si="231"/>
        <v>0</v>
      </c>
      <c r="R56" s="610">
        <f t="shared" si="231"/>
        <v>0</v>
      </c>
      <c r="S56" s="111">
        <f>ROW()</f>
        <v>56</v>
      </c>
      <c r="T56" s="238" t="s">
        <v>1026</v>
      </c>
      <c r="U56" s="590"/>
      <c r="V56" s="121">
        <v>22144.320000000003</v>
      </c>
      <c r="W56" s="134">
        <f t="shared" si="217"/>
        <v>-22144.320000000003</v>
      </c>
      <c r="X56" s="121">
        <f t="shared" si="218"/>
        <v>0</v>
      </c>
      <c r="Y56" s="121"/>
      <c r="Z56" s="121">
        <f t="shared" si="219"/>
        <v>0</v>
      </c>
      <c r="AA56" s="121"/>
      <c r="AB56" s="121">
        <f t="shared" si="220"/>
        <v>0</v>
      </c>
      <c r="AC56" s="121"/>
      <c r="AD56" s="121">
        <f t="shared" si="221"/>
        <v>0</v>
      </c>
      <c r="AE56" s="121"/>
      <c r="AF56" s="121">
        <f t="shared" si="222"/>
        <v>0</v>
      </c>
      <c r="AL56"/>
      <c r="AM56"/>
      <c r="AN56"/>
      <c r="AO56"/>
      <c r="AP56"/>
      <c r="AQ56"/>
      <c r="AR56"/>
      <c r="AS56"/>
      <c r="AT56"/>
      <c r="AU56"/>
      <c r="AV56"/>
      <c r="AW56"/>
      <c r="AX56"/>
      <c r="AY56"/>
      <c r="AZ56"/>
      <c r="BA56"/>
      <c r="BB56"/>
      <c r="BD56"/>
      <c r="BE56"/>
      <c r="BF56"/>
      <c r="BG56"/>
      <c r="BH56"/>
      <c r="BI56"/>
      <c r="BJ56"/>
      <c r="BK56"/>
      <c r="BL56"/>
      <c r="BM56"/>
      <c r="BN56"/>
      <c r="BO56"/>
      <c r="BP56"/>
      <c r="BQ56"/>
      <c r="BR56"/>
      <c r="BS56"/>
      <c r="BT56"/>
      <c r="BV56"/>
      <c r="BW56"/>
      <c r="BX56"/>
      <c r="BY56"/>
      <c r="BZ56"/>
      <c r="CA56"/>
      <c r="CB56"/>
      <c r="IS56"/>
      <c r="IT56"/>
      <c r="IU56"/>
      <c r="IV56"/>
      <c r="IW56"/>
      <c r="IX56"/>
      <c r="IY56"/>
      <c r="IZ56"/>
      <c r="JK56"/>
      <c r="JL56"/>
      <c r="JM56"/>
      <c r="JN56"/>
      <c r="JO56"/>
      <c r="JP56"/>
      <c r="JQ56"/>
      <c r="JR56"/>
      <c r="JS56"/>
      <c r="JT56"/>
      <c r="JU56"/>
      <c r="JV56"/>
      <c r="JW56"/>
      <c r="JX56"/>
      <c r="JY56"/>
      <c r="JZ56"/>
      <c r="KA56"/>
      <c r="KB56"/>
      <c r="NP56" s="397"/>
      <c r="OC56" s="864"/>
      <c r="OD56" s="864"/>
      <c r="OE56" s="864"/>
      <c r="OF56" s="864"/>
      <c r="OW56"/>
      <c r="OX56"/>
      <c r="OY56"/>
      <c r="OZ56"/>
      <c r="PA56"/>
      <c r="PB56" s="593"/>
      <c r="PC56" s="593"/>
      <c r="PD56" s="593"/>
      <c r="PE56" s="593"/>
      <c r="PF56" s="593"/>
      <c r="PG56" s="593"/>
      <c r="PH56" s="593"/>
      <c r="PI56" s="593"/>
      <c r="PJ56" s="593"/>
      <c r="PK56" s="593"/>
      <c r="PL56"/>
      <c r="PM56"/>
      <c r="PN56"/>
      <c r="PO56"/>
      <c r="PP56"/>
      <c r="PR56"/>
      <c r="PS56"/>
      <c r="PT56"/>
      <c r="PU56"/>
      <c r="PV56"/>
      <c r="PW56"/>
      <c r="PX56"/>
      <c r="PY56"/>
      <c r="PZ56"/>
      <c r="QA56"/>
      <c r="QB56"/>
      <c r="QC56"/>
      <c r="QD56"/>
      <c r="QE56"/>
      <c r="QF56"/>
      <c r="QG56"/>
      <c r="QH56"/>
      <c r="RY56" s="1"/>
      <c r="RZ56" s="1"/>
      <c r="SA56" s="1"/>
      <c r="SB56" s="1"/>
      <c r="SC56" s="1"/>
      <c r="SD56" s="1"/>
      <c r="SE56" s="1"/>
      <c r="SF56" s="1"/>
      <c r="SG56" s="1"/>
      <c r="SH56" s="1"/>
      <c r="SI56" s="1"/>
      <c r="SJ56" s="1"/>
      <c r="SK56" s="1"/>
      <c r="SL56" s="336">
        <f>ROW()</f>
        <v>56</v>
      </c>
      <c r="SM56" s="329" t="s">
        <v>871</v>
      </c>
      <c r="SN56" s="338"/>
      <c r="SO56" s="356"/>
      <c r="SP56" s="356"/>
      <c r="SQ56" s="356"/>
      <c r="SR56" s="356">
        <f t="shared" ref="SR56:SY56" si="233">SUM(SR52:SR55)</f>
        <v>617.78</v>
      </c>
      <c r="SS56" s="356">
        <f t="shared" si="233"/>
        <v>617.78</v>
      </c>
      <c r="ST56" s="356">
        <f t="shared" si="233"/>
        <v>15198.15</v>
      </c>
      <c r="SU56" s="356">
        <f t="shared" si="233"/>
        <v>15815.93</v>
      </c>
      <c r="SV56" s="356">
        <f t="shared" si="233"/>
        <v>449917.27</v>
      </c>
      <c r="SW56" s="356">
        <f t="shared" si="233"/>
        <v>465733.2</v>
      </c>
      <c r="SX56" s="356">
        <f t="shared" si="233"/>
        <v>243767.49736000001</v>
      </c>
      <c r="SY56" s="356">
        <f t="shared" si="233"/>
        <v>709500.69735999999</v>
      </c>
      <c r="SZ56" s="356"/>
      <c r="TA56" s="356"/>
      <c r="TB56" s="525"/>
      <c r="TC56" s="525"/>
      <c r="TK56"/>
      <c r="TL56"/>
      <c r="TM56"/>
      <c r="TN56"/>
      <c r="TO56"/>
      <c r="TP56"/>
      <c r="TQ56"/>
      <c r="TR56"/>
      <c r="TS56"/>
      <c r="TT56"/>
      <c r="TU56"/>
      <c r="TV56"/>
      <c r="TW56"/>
    </row>
    <row r="57" spans="1:548" x14ac:dyDescent="0.35">
      <c r="A57" s="111">
        <f>ROW()</f>
        <v>57</v>
      </c>
      <c r="D57" s="175"/>
      <c r="E57" s="175"/>
      <c r="F57" s="175"/>
      <c r="G57" s="175"/>
      <c r="H57" s="121"/>
      <c r="I57" s="175"/>
      <c r="J57" s="175"/>
      <c r="K57" s="175"/>
      <c r="L57" s="175"/>
      <c r="M57" s="175"/>
      <c r="N57" s="175"/>
      <c r="O57" s="175"/>
      <c r="P57" s="175"/>
      <c r="Q57" s="175"/>
      <c r="R57" s="175"/>
      <c r="S57" s="111">
        <f>ROW()</f>
        <v>57</v>
      </c>
      <c r="T57" s="238" t="s">
        <v>1027</v>
      </c>
      <c r="U57" s="590"/>
      <c r="V57" s="121">
        <v>-56.36</v>
      </c>
      <c r="W57" s="134">
        <f t="shared" si="217"/>
        <v>56.36</v>
      </c>
      <c r="X57" s="121">
        <f t="shared" si="218"/>
        <v>0</v>
      </c>
      <c r="Y57" s="121"/>
      <c r="Z57" s="121">
        <f t="shared" si="219"/>
        <v>0</v>
      </c>
      <c r="AA57" s="121"/>
      <c r="AB57" s="121">
        <f t="shared" si="220"/>
        <v>0</v>
      </c>
      <c r="AC57" s="121"/>
      <c r="AD57" s="121">
        <f t="shared" si="221"/>
        <v>0</v>
      </c>
      <c r="AE57" s="121"/>
      <c r="AF57" s="121">
        <f t="shared" si="222"/>
        <v>0</v>
      </c>
      <c r="AL57"/>
      <c r="AM57"/>
      <c r="AN57"/>
      <c r="AO57"/>
      <c r="AP57"/>
      <c r="AQ57"/>
      <c r="AR57"/>
      <c r="AS57"/>
      <c r="AT57"/>
      <c r="AU57"/>
      <c r="AV57"/>
      <c r="AW57"/>
      <c r="AX57"/>
      <c r="AY57"/>
      <c r="AZ57"/>
      <c r="BA57"/>
      <c r="BB57"/>
      <c r="BD57"/>
      <c r="BE57"/>
      <c r="BF57"/>
      <c r="BG57"/>
      <c r="BH57"/>
      <c r="BI57"/>
      <c r="BJ57"/>
      <c r="BK57"/>
      <c r="BL57"/>
      <c r="BM57"/>
      <c r="BN57"/>
      <c r="BO57"/>
      <c r="BP57"/>
      <c r="BQ57"/>
      <c r="BR57"/>
      <c r="BS57"/>
      <c r="BT57"/>
      <c r="BV57"/>
      <c r="BW57"/>
      <c r="BX57"/>
      <c r="BY57"/>
      <c r="BZ57"/>
      <c r="CA57"/>
      <c r="CB57"/>
      <c r="IS57"/>
      <c r="IT57"/>
      <c r="IU57"/>
      <c r="IV57"/>
      <c r="IW57"/>
      <c r="IX57"/>
      <c r="IY57"/>
      <c r="IZ57"/>
      <c r="JK57"/>
      <c r="JL57"/>
      <c r="JM57"/>
      <c r="JN57"/>
      <c r="JO57"/>
      <c r="JP57"/>
      <c r="JQ57"/>
      <c r="JR57"/>
      <c r="JS57"/>
      <c r="JT57"/>
      <c r="JU57"/>
      <c r="JV57"/>
      <c r="JW57"/>
      <c r="JX57"/>
      <c r="JY57"/>
      <c r="JZ57"/>
      <c r="KA57"/>
      <c r="KB57"/>
      <c r="NP57" s="397"/>
      <c r="OC57" s="864"/>
      <c r="OD57" s="864"/>
      <c r="OE57" s="864"/>
      <c r="OF57" s="864"/>
      <c r="OW57"/>
      <c r="OX57"/>
      <c r="OY57"/>
      <c r="OZ57"/>
      <c r="PA57"/>
      <c r="PB57" s="593"/>
      <c r="PC57" s="593"/>
      <c r="PD57" s="593"/>
      <c r="PE57" s="593"/>
      <c r="PF57" s="593"/>
      <c r="PG57" s="593"/>
      <c r="PH57" s="593"/>
      <c r="PI57" s="593"/>
      <c r="PJ57" s="593"/>
      <c r="PK57" s="593"/>
      <c r="PL57"/>
      <c r="PM57"/>
      <c r="PN57"/>
      <c r="PO57"/>
      <c r="PP57"/>
      <c r="PR57"/>
      <c r="PS57"/>
      <c r="PT57"/>
      <c r="PU57"/>
      <c r="PV57"/>
      <c r="PW57"/>
      <c r="PX57"/>
      <c r="PY57"/>
      <c r="PZ57"/>
      <c r="QA57"/>
      <c r="QB57"/>
      <c r="QC57"/>
      <c r="QD57"/>
      <c r="QE57"/>
      <c r="QF57"/>
      <c r="QG57"/>
      <c r="QH57"/>
      <c r="RY57" s="1"/>
      <c r="RZ57" s="1"/>
      <c r="SA57" s="1"/>
      <c r="SB57" s="1"/>
      <c r="SC57" s="1"/>
      <c r="SD57" s="1"/>
      <c r="SE57" s="1"/>
      <c r="SF57" s="1"/>
      <c r="SG57" s="1"/>
      <c r="SH57" s="1"/>
      <c r="SI57" s="1"/>
      <c r="SJ57" s="1"/>
      <c r="SK57" s="1"/>
      <c r="SL57" s="336">
        <f>ROW()</f>
        <v>57</v>
      </c>
      <c r="SM57" s="329"/>
      <c r="SN57" s="338"/>
      <c r="SO57" s="356"/>
      <c r="SP57" s="356"/>
      <c r="SQ57" s="356"/>
      <c r="SR57" s="356"/>
      <c r="SS57" s="356"/>
      <c r="ST57" s="356"/>
      <c r="SU57" s="356"/>
      <c r="SV57" s="356"/>
      <c r="SW57" s="356"/>
      <c r="SX57" s="356"/>
      <c r="SY57" s="356"/>
      <c r="SZ57" s="356"/>
      <c r="TA57" s="356"/>
      <c r="TB57" s="525"/>
      <c r="TC57" s="525"/>
      <c r="TK57"/>
      <c r="TL57"/>
      <c r="TM57"/>
      <c r="TN57"/>
      <c r="TO57"/>
      <c r="TP57"/>
      <c r="TQ57"/>
      <c r="TR57"/>
      <c r="TS57"/>
      <c r="TT57"/>
      <c r="TU57"/>
      <c r="TV57"/>
      <c r="TW57"/>
    </row>
    <row r="58" spans="1:548" x14ac:dyDescent="0.35">
      <c r="A58" s="111">
        <f>ROW()</f>
        <v>58</v>
      </c>
      <c r="B58" s="241"/>
      <c r="D58" s="189"/>
      <c r="E58" s="189"/>
      <c r="F58" s="189"/>
      <c r="G58" s="189"/>
      <c r="H58" s="189"/>
      <c r="I58" s="189"/>
      <c r="J58" s="189"/>
      <c r="K58" s="189"/>
      <c r="L58" s="189"/>
      <c r="M58" s="189"/>
      <c r="N58" s="189"/>
      <c r="O58" s="189"/>
      <c r="P58" s="189"/>
      <c r="Q58" s="189"/>
      <c r="R58" s="189"/>
      <c r="S58" s="111">
        <f>ROW()</f>
        <v>58</v>
      </c>
      <c r="T58" s="238" t="s">
        <v>1667</v>
      </c>
      <c r="U58" s="590"/>
      <c r="V58" s="121">
        <v>1564.16</v>
      </c>
      <c r="W58" s="134">
        <f t="shared" si="217"/>
        <v>-1564.16</v>
      </c>
      <c r="AL58"/>
      <c r="AM58"/>
      <c r="AN58"/>
      <c r="AO58"/>
      <c r="AP58"/>
      <c r="AQ58"/>
      <c r="AR58"/>
      <c r="AS58"/>
      <c r="AT58"/>
      <c r="AU58"/>
      <c r="AV58"/>
      <c r="AW58"/>
      <c r="AX58"/>
      <c r="AY58"/>
      <c r="AZ58"/>
      <c r="BA58"/>
      <c r="BB58"/>
      <c r="BD58"/>
      <c r="BE58"/>
      <c r="BF58"/>
      <c r="BG58"/>
      <c r="BH58"/>
      <c r="BI58"/>
      <c r="BJ58"/>
      <c r="BK58"/>
      <c r="BL58"/>
      <c r="BM58"/>
      <c r="BN58"/>
      <c r="BO58"/>
      <c r="BP58"/>
      <c r="BQ58"/>
      <c r="BR58"/>
      <c r="BS58"/>
      <c r="BT58"/>
      <c r="BV58"/>
      <c r="BW58"/>
      <c r="BX58"/>
      <c r="BY58"/>
      <c r="BZ58"/>
      <c r="CA58"/>
      <c r="CB58"/>
      <c r="IS58"/>
      <c r="IT58"/>
      <c r="IU58"/>
      <c r="IV58"/>
      <c r="IW58"/>
      <c r="IX58"/>
      <c r="IY58"/>
      <c r="IZ58"/>
      <c r="JK58"/>
      <c r="JL58"/>
      <c r="JM58"/>
      <c r="JN58"/>
      <c r="JO58"/>
      <c r="JP58"/>
      <c r="JQ58"/>
      <c r="JR58"/>
      <c r="JS58"/>
      <c r="JT58"/>
      <c r="JU58"/>
      <c r="JV58"/>
      <c r="JW58"/>
      <c r="JX58"/>
      <c r="JY58"/>
      <c r="JZ58"/>
      <c r="KA58"/>
      <c r="KB58"/>
      <c r="NP58" s="397"/>
      <c r="OC58" s="864"/>
      <c r="OD58" s="864"/>
      <c r="OE58" s="864"/>
      <c r="OF58" s="864"/>
      <c r="OW58"/>
      <c r="OX58"/>
      <c r="OY58"/>
      <c r="OZ58"/>
      <c r="PA58"/>
      <c r="PB58" s="593"/>
      <c r="PC58" s="593"/>
      <c r="PD58" s="593"/>
      <c r="PE58" s="593"/>
      <c r="PF58" s="593"/>
      <c r="PG58" s="593"/>
      <c r="PH58" s="593"/>
      <c r="PI58" s="593"/>
      <c r="PJ58" s="593"/>
      <c r="PK58" s="593"/>
      <c r="PL58"/>
      <c r="PM58"/>
      <c r="PN58"/>
      <c r="PO58"/>
      <c r="PP58"/>
      <c r="PR58"/>
      <c r="PS58"/>
      <c r="PT58"/>
      <c r="PU58"/>
      <c r="PV58"/>
      <c r="PW58"/>
      <c r="PX58"/>
      <c r="PY58"/>
      <c r="PZ58"/>
      <c r="QA58"/>
      <c r="QB58"/>
      <c r="QC58"/>
      <c r="QD58"/>
      <c r="QE58"/>
      <c r="QF58"/>
      <c r="QG58"/>
      <c r="QH58"/>
      <c r="RY58" s="1"/>
      <c r="RZ58" s="1"/>
      <c r="SA58" s="1"/>
      <c r="SB58" s="1"/>
      <c r="SC58" s="1"/>
      <c r="SD58" s="1"/>
      <c r="SE58" s="1"/>
      <c r="SF58" s="1"/>
      <c r="SG58" s="1"/>
      <c r="SH58" s="1"/>
      <c r="SI58" s="1"/>
      <c r="SJ58" s="1"/>
      <c r="SK58" s="1"/>
      <c r="SL58" s="336">
        <f>ROW()</f>
        <v>58</v>
      </c>
      <c r="SM58" s="329" t="s">
        <v>274</v>
      </c>
      <c r="SN58" s="338"/>
      <c r="SO58" s="356"/>
      <c r="SP58" s="356"/>
      <c r="SQ58" s="356"/>
      <c r="SR58" s="356">
        <f t="shared" ref="SR58:SY58" si="234">SR56</f>
        <v>617.78</v>
      </c>
      <c r="SS58" s="356">
        <f t="shared" si="234"/>
        <v>617.78</v>
      </c>
      <c r="ST58" s="356">
        <f t="shared" si="234"/>
        <v>15198.15</v>
      </c>
      <c r="SU58" s="356">
        <f t="shared" si="234"/>
        <v>15815.93</v>
      </c>
      <c r="SV58" s="356">
        <f t="shared" si="234"/>
        <v>449917.27</v>
      </c>
      <c r="SW58" s="356">
        <f t="shared" si="234"/>
        <v>465733.2</v>
      </c>
      <c r="SX58" s="356">
        <f t="shared" si="234"/>
        <v>243767.49736000001</v>
      </c>
      <c r="SY58" s="356">
        <f t="shared" si="234"/>
        <v>709500.69735999999</v>
      </c>
      <c r="SZ58" s="356"/>
      <c r="TA58" s="356"/>
      <c r="TB58" s="525"/>
      <c r="TC58" s="525"/>
      <c r="TK58"/>
      <c r="TL58"/>
      <c r="TM58"/>
      <c r="TN58"/>
      <c r="TO58"/>
      <c r="TP58"/>
      <c r="TQ58"/>
      <c r="TR58"/>
      <c r="TS58"/>
      <c r="TT58"/>
      <c r="TU58"/>
      <c r="TV58"/>
      <c r="TW58"/>
    </row>
    <row r="59" spans="1:548" x14ac:dyDescent="0.35">
      <c r="A59" s="111">
        <f>ROW()</f>
        <v>59</v>
      </c>
      <c r="B59" s="586" t="s">
        <v>976</v>
      </c>
      <c r="D59" s="189"/>
      <c r="E59" s="189"/>
      <c r="F59" s="189"/>
      <c r="G59" s="189"/>
      <c r="H59" s="189"/>
      <c r="I59" s="189"/>
      <c r="J59" s="189"/>
      <c r="K59" s="189"/>
      <c r="L59" s="189"/>
      <c r="M59" s="189"/>
      <c r="N59" s="189"/>
      <c r="O59" s="189"/>
      <c r="P59" s="189"/>
      <c r="Q59" s="189"/>
      <c r="R59" s="189"/>
      <c r="S59" s="111">
        <f>ROW()</f>
        <v>59</v>
      </c>
      <c r="T59" s="238" t="s">
        <v>1668</v>
      </c>
      <c r="U59" s="590"/>
      <c r="V59" s="121">
        <v>5272.46</v>
      </c>
      <c r="W59" s="134">
        <f t="shared" si="217"/>
        <v>-5272.46</v>
      </c>
      <c r="AK59" s="162"/>
      <c r="AL59"/>
      <c r="AM59"/>
      <c r="AN59"/>
      <c r="AO59"/>
      <c r="AP59"/>
      <c r="AQ59"/>
      <c r="AR59"/>
      <c r="AS59"/>
      <c r="AT59"/>
      <c r="AU59"/>
      <c r="AV59"/>
      <c r="AW59"/>
      <c r="AX59"/>
      <c r="AY59"/>
      <c r="AZ59"/>
      <c r="BA59"/>
      <c r="BB59"/>
      <c r="BD59"/>
      <c r="BE59"/>
      <c r="BF59"/>
      <c r="BG59"/>
      <c r="BH59"/>
      <c r="BI59"/>
      <c r="BJ59"/>
      <c r="BK59"/>
      <c r="BL59"/>
      <c r="BM59"/>
      <c r="BN59"/>
      <c r="BO59"/>
      <c r="BP59"/>
      <c r="BQ59"/>
      <c r="BR59"/>
      <c r="BS59"/>
      <c r="BT59"/>
      <c r="BV59"/>
      <c r="BW59"/>
      <c r="BX59"/>
      <c r="BY59"/>
      <c r="BZ59"/>
      <c r="CA59"/>
      <c r="CB59"/>
      <c r="IS59"/>
      <c r="IT59"/>
      <c r="IU59"/>
      <c r="IV59"/>
      <c r="IW59"/>
      <c r="IX59"/>
      <c r="IY59"/>
      <c r="IZ59"/>
      <c r="JK59"/>
      <c r="JL59"/>
      <c r="JM59"/>
      <c r="JN59"/>
      <c r="JO59"/>
      <c r="JP59"/>
      <c r="JQ59"/>
      <c r="JR59"/>
      <c r="JS59"/>
      <c r="JT59"/>
      <c r="JU59"/>
      <c r="JV59"/>
      <c r="JW59"/>
      <c r="JX59"/>
      <c r="JY59"/>
      <c r="JZ59"/>
      <c r="KA59"/>
      <c r="KB59"/>
      <c r="KC59" s="111"/>
      <c r="NP59" s="397"/>
      <c r="OC59" s="864"/>
      <c r="OD59" s="864"/>
      <c r="OE59" s="864"/>
      <c r="OF59" s="864"/>
      <c r="OW59"/>
      <c r="OX59"/>
      <c r="OY59"/>
      <c r="OZ59"/>
      <c r="PA59"/>
      <c r="PB59" s="593"/>
      <c r="PC59" s="593"/>
      <c r="PD59" s="593"/>
      <c r="PE59" s="593"/>
      <c r="PF59" s="593"/>
      <c r="PG59" s="593"/>
      <c r="PH59" s="593"/>
      <c r="PI59" s="593"/>
      <c r="PJ59" s="593"/>
      <c r="PK59" s="593"/>
      <c r="PL59"/>
      <c r="PM59"/>
      <c r="PN59"/>
      <c r="PO59"/>
      <c r="PP59"/>
      <c r="PR59"/>
      <c r="PS59"/>
      <c r="PT59"/>
      <c r="PU59"/>
      <c r="PV59"/>
      <c r="PW59"/>
      <c r="PX59"/>
      <c r="PY59"/>
      <c r="PZ59"/>
      <c r="QA59"/>
      <c r="QB59"/>
      <c r="QC59"/>
      <c r="QD59"/>
      <c r="QE59"/>
      <c r="QF59"/>
      <c r="QG59"/>
      <c r="QH59"/>
      <c r="RY59" s="1"/>
      <c r="RZ59" s="1"/>
      <c r="SA59" s="1"/>
      <c r="SB59" s="1"/>
      <c r="SC59" s="1"/>
      <c r="SD59" s="1"/>
      <c r="SE59" s="1"/>
      <c r="SF59" s="1"/>
      <c r="SG59" s="1"/>
      <c r="SH59" s="1"/>
      <c r="SI59" s="1"/>
      <c r="SJ59" s="1"/>
      <c r="SK59" s="1"/>
      <c r="SL59" s="336">
        <f>ROW()</f>
        <v>59</v>
      </c>
      <c r="SM59" s="329"/>
      <c r="SN59" s="338"/>
      <c r="SO59" s="337"/>
      <c r="SP59" s="337"/>
      <c r="SQ59" s="337"/>
      <c r="SR59" s="337"/>
      <c r="SS59" s="337"/>
      <c r="ST59" s="337"/>
      <c r="SU59" s="337"/>
      <c r="SV59" s="337"/>
      <c r="SW59" s="337"/>
      <c r="SX59" s="337"/>
      <c r="SY59" s="337"/>
      <c r="SZ59" s="337"/>
      <c r="TA59" s="337"/>
      <c r="TB59" s="580"/>
      <c r="TC59" s="580"/>
      <c r="TK59"/>
      <c r="TL59"/>
      <c r="TM59"/>
      <c r="TN59"/>
      <c r="TO59"/>
      <c r="TP59"/>
      <c r="TQ59"/>
      <c r="TR59"/>
      <c r="TS59"/>
      <c r="TT59"/>
      <c r="TU59"/>
      <c r="TV59"/>
      <c r="TW59"/>
    </row>
    <row r="60" spans="1:548" x14ac:dyDescent="0.35">
      <c r="A60" s="111">
        <f>ROW()</f>
        <v>60</v>
      </c>
      <c r="B60" s="249" t="s">
        <v>974</v>
      </c>
      <c r="C60" s="1188" t="s">
        <v>1869</v>
      </c>
      <c r="D60" s="759"/>
      <c r="E60" s="760"/>
      <c r="F60" s="120"/>
      <c r="G60" s="189"/>
      <c r="H60" s="120"/>
      <c r="I60" s="189"/>
      <c r="J60" s="189"/>
      <c r="K60" s="189"/>
      <c r="L60" s="189"/>
      <c r="M60" s="189"/>
      <c r="N60" s="189"/>
      <c r="O60" s="189"/>
      <c r="P60" s="189"/>
      <c r="Q60" s="189"/>
      <c r="R60" s="189"/>
      <c r="S60" s="111">
        <f>ROW()</f>
        <v>60</v>
      </c>
      <c r="T60" s="238" t="s">
        <v>978</v>
      </c>
      <c r="U60" s="588">
        <f>V60/SUM(V28,V32)</f>
        <v>0.95657856050349466</v>
      </c>
      <c r="V60" s="121">
        <v>59171890.659999996</v>
      </c>
      <c r="W60" s="134">
        <f t="shared" si="217"/>
        <v>-59171890.659999996</v>
      </c>
      <c r="X60" s="177">
        <f t="shared" ref="X60" si="235">SUM(V60:W60)</f>
        <v>0</v>
      </c>
      <c r="Y60" s="177"/>
      <c r="Z60" s="177">
        <f t="shared" ref="Z60" si="236">SUM(X60:Y60)</f>
        <v>0</v>
      </c>
      <c r="AA60" s="177"/>
      <c r="AB60" s="177">
        <f t="shared" ref="AB60" si="237">SUM(Z60:AA60)</f>
        <v>0</v>
      </c>
      <c r="AC60" s="177"/>
      <c r="AD60" s="177">
        <f t="shared" ref="AD60" si="238">SUM(AB60:AC60)</f>
        <v>0</v>
      </c>
      <c r="AE60" s="177"/>
      <c r="AF60" s="177">
        <f t="shared" ref="AF60" si="239">SUM(AD60:AE60)</f>
        <v>0</v>
      </c>
      <c r="AG60" s="129"/>
      <c r="AH60" s="129"/>
      <c r="AI60" s="129"/>
      <c r="AJ60" s="129"/>
      <c r="AK60" s="162"/>
      <c r="AL60"/>
      <c r="AM60"/>
      <c r="AN60"/>
      <c r="AO60"/>
      <c r="AP60"/>
      <c r="AQ60"/>
      <c r="AR60"/>
      <c r="AS60"/>
      <c r="AT60"/>
      <c r="AU60"/>
      <c r="AV60"/>
      <c r="AW60"/>
      <c r="AX60"/>
      <c r="AY60"/>
      <c r="AZ60"/>
      <c r="BA60"/>
      <c r="BB60"/>
      <c r="BD60"/>
      <c r="BE60"/>
      <c r="BF60"/>
      <c r="BG60"/>
      <c r="BH60"/>
      <c r="BI60"/>
      <c r="BJ60"/>
      <c r="BK60"/>
      <c r="BL60"/>
      <c r="BM60"/>
      <c r="BN60"/>
      <c r="BO60"/>
      <c r="BP60"/>
      <c r="BQ60"/>
      <c r="BR60"/>
      <c r="BS60"/>
      <c r="BT60"/>
      <c r="BV60"/>
      <c r="BW60"/>
      <c r="BX60"/>
      <c r="BY60"/>
      <c r="BZ60"/>
      <c r="CA60"/>
      <c r="CB60"/>
      <c r="IS60"/>
      <c r="IT60"/>
      <c r="IU60"/>
      <c r="IV60"/>
      <c r="IW60"/>
      <c r="IX60"/>
      <c r="IY60"/>
      <c r="IZ60"/>
      <c r="JK60"/>
      <c r="JL60"/>
      <c r="JM60"/>
      <c r="JN60"/>
      <c r="JO60"/>
      <c r="JP60"/>
      <c r="JQ60"/>
      <c r="JR60"/>
      <c r="JS60"/>
      <c r="JT60"/>
      <c r="JU60"/>
      <c r="JV60"/>
      <c r="JW60"/>
      <c r="JX60"/>
      <c r="JY60"/>
      <c r="JZ60"/>
      <c r="KA60"/>
      <c r="KB60"/>
      <c r="KC60" s="111"/>
      <c r="NP60" s="397"/>
      <c r="OC60" s="864"/>
      <c r="OD60" s="864"/>
      <c r="OE60" s="864"/>
      <c r="OF60" s="864"/>
      <c r="OW60"/>
      <c r="OX60"/>
      <c r="OY60"/>
      <c r="OZ60"/>
      <c r="PA60"/>
      <c r="PB60" s="593"/>
      <c r="PC60" s="593"/>
      <c r="PD60" s="593"/>
      <c r="PE60" s="593"/>
      <c r="PF60" s="593"/>
      <c r="PG60" s="593"/>
      <c r="PH60" s="593"/>
      <c r="PI60" s="593"/>
      <c r="PJ60" s="593"/>
      <c r="PK60" s="593"/>
      <c r="PL60"/>
      <c r="PM60"/>
      <c r="PN60"/>
      <c r="PO60"/>
      <c r="PP60"/>
      <c r="PR60"/>
      <c r="PS60"/>
      <c r="PT60"/>
      <c r="PU60"/>
      <c r="PV60"/>
      <c r="PW60"/>
      <c r="PX60"/>
      <c r="PY60"/>
      <c r="PZ60"/>
      <c r="QA60"/>
      <c r="QB60"/>
      <c r="QC60"/>
      <c r="QD60"/>
      <c r="QE60"/>
      <c r="QF60"/>
      <c r="QG60"/>
      <c r="QH60"/>
      <c r="RY60" s="1"/>
      <c r="RZ60" s="1"/>
      <c r="SA60" s="1"/>
      <c r="SB60" s="1"/>
      <c r="SC60" s="1"/>
      <c r="SD60" s="1"/>
      <c r="SE60" s="1"/>
      <c r="SF60" s="1"/>
      <c r="SG60" s="1"/>
      <c r="SH60" s="1"/>
      <c r="SI60" s="1"/>
      <c r="SJ60" s="1"/>
      <c r="SK60" s="1"/>
      <c r="SL60" s="336">
        <f>ROW()</f>
        <v>60</v>
      </c>
      <c r="SM60" s="329" t="s">
        <v>230</v>
      </c>
      <c r="SN60" s="338">
        <v>0.21</v>
      </c>
      <c r="SO60" s="355"/>
      <c r="SP60" s="355"/>
      <c r="SQ60" s="355"/>
      <c r="SR60" s="355">
        <f t="shared" ref="SR60:SY60" si="240">SR58*-$SN$60</f>
        <v>-129.7338</v>
      </c>
      <c r="SS60" s="355">
        <f t="shared" si="240"/>
        <v>-129.7338</v>
      </c>
      <c r="ST60" s="355">
        <f t="shared" si="240"/>
        <v>-3191.6115</v>
      </c>
      <c r="SU60" s="355">
        <f t="shared" si="240"/>
        <v>-3321.3453</v>
      </c>
      <c r="SV60" s="355">
        <f t="shared" si="240"/>
        <v>-94482.626699999993</v>
      </c>
      <c r="SW60" s="355">
        <f t="shared" si="240"/>
        <v>-97803.971999999994</v>
      </c>
      <c r="SX60" s="355">
        <f t="shared" si="240"/>
        <v>-51191.174445600001</v>
      </c>
      <c r="SY60" s="355">
        <f t="shared" si="240"/>
        <v>-148995.1464456</v>
      </c>
      <c r="SZ60" s="355"/>
      <c r="TA60" s="355"/>
      <c r="TB60" s="575"/>
      <c r="TC60" s="575"/>
      <c r="TK60"/>
      <c r="TL60"/>
      <c r="TM60"/>
      <c r="TN60"/>
      <c r="TO60"/>
      <c r="TP60"/>
      <c r="TQ60"/>
      <c r="TR60"/>
      <c r="TS60"/>
      <c r="TT60"/>
      <c r="TU60"/>
      <c r="TV60"/>
      <c r="TW60"/>
    </row>
    <row r="61" spans="1:548" x14ac:dyDescent="0.35">
      <c r="A61" s="111">
        <f>ROW()</f>
        <v>61</v>
      </c>
      <c r="B61" s="249" t="s">
        <v>973</v>
      </c>
      <c r="C61" s="1188" t="s">
        <v>1869</v>
      </c>
      <c r="D61" s="761"/>
      <c r="E61" s="762"/>
      <c r="F61" s="243"/>
      <c r="G61" s="215"/>
      <c r="H61" s="243"/>
      <c r="I61" s="215"/>
      <c r="J61" s="215"/>
      <c r="K61" s="215"/>
      <c r="L61" s="215"/>
      <c r="M61" s="215"/>
      <c r="N61" s="215"/>
      <c r="O61" s="215"/>
      <c r="P61" s="215"/>
      <c r="Q61" s="215"/>
      <c r="R61" s="215"/>
      <c r="S61" s="111">
        <f>ROW()</f>
        <v>61</v>
      </c>
      <c r="T61" s="204" t="s">
        <v>244</v>
      </c>
      <c r="U61" s="204"/>
      <c r="V61" s="429">
        <f t="shared" ref="V61:AF61" si="241">SUM(V42:V60)</f>
        <v>686766261.61999989</v>
      </c>
      <c r="W61" s="429">
        <f t="shared" si="241"/>
        <v>-686766261.61999989</v>
      </c>
      <c r="X61" s="429">
        <f t="shared" si="241"/>
        <v>0</v>
      </c>
      <c r="Y61" s="429">
        <f t="shared" si="241"/>
        <v>0</v>
      </c>
      <c r="Z61" s="429">
        <f t="shared" si="241"/>
        <v>0</v>
      </c>
      <c r="AA61" s="429">
        <f t="shared" si="241"/>
        <v>0</v>
      </c>
      <c r="AB61" s="429">
        <f t="shared" si="241"/>
        <v>0</v>
      </c>
      <c r="AC61" s="429">
        <f t="shared" si="241"/>
        <v>0</v>
      </c>
      <c r="AD61" s="429">
        <f t="shared" si="241"/>
        <v>0</v>
      </c>
      <c r="AE61" s="429">
        <f t="shared" si="241"/>
        <v>0</v>
      </c>
      <c r="AF61" s="429">
        <f t="shared" si="241"/>
        <v>0</v>
      </c>
      <c r="AG61" s="429"/>
      <c r="AH61" s="429"/>
      <c r="AI61" s="429"/>
      <c r="AJ61" s="429"/>
      <c r="AK61" s="162"/>
      <c r="AL61"/>
      <c r="AM61"/>
      <c r="AN61"/>
      <c r="AO61"/>
      <c r="AP61"/>
      <c r="AQ61"/>
      <c r="AR61"/>
      <c r="AS61"/>
      <c r="AT61"/>
      <c r="AU61"/>
      <c r="AV61"/>
      <c r="AW61"/>
      <c r="AX61"/>
      <c r="AY61"/>
      <c r="AZ61"/>
      <c r="BA61"/>
      <c r="BB61"/>
      <c r="BD61"/>
      <c r="BE61"/>
      <c r="BF61"/>
      <c r="BG61"/>
      <c r="BH61"/>
      <c r="BI61"/>
      <c r="BJ61"/>
      <c r="BK61"/>
      <c r="BL61"/>
      <c r="BM61"/>
      <c r="BN61"/>
      <c r="BO61"/>
      <c r="BP61"/>
      <c r="BQ61"/>
      <c r="BR61"/>
      <c r="BS61"/>
      <c r="BT61"/>
      <c r="BV61"/>
      <c r="BW61"/>
      <c r="BX61"/>
      <c r="BY61"/>
      <c r="BZ61"/>
      <c r="CA61"/>
      <c r="CB61"/>
      <c r="IS61"/>
      <c r="IT61"/>
      <c r="IU61"/>
      <c r="IV61"/>
      <c r="IW61"/>
      <c r="IX61"/>
      <c r="IY61"/>
      <c r="IZ61"/>
      <c r="JK61"/>
      <c r="JL61"/>
      <c r="JM61"/>
      <c r="JN61"/>
      <c r="JO61"/>
      <c r="JP61"/>
      <c r="JQ61"/>
      <c r="JR61"/>
      <c r="JS61"/>
      <c r="JT61"/>
      <c r="JU61"/>
      <c r="JV61"/>
      <c r="JW61"/>
      <c r="JX61"/>
      <c r="JY61"/>
      <c r="JZ61"/>
      <c r="KA61"/>
      <c r="KB61"/>
      <c r="NP61" s="397"/>
      <c r="OC61" s="864"/>
      <c r="OD61" s="864"/>
      <c r="OE61" s="864"/>
      <c r="OF61" s="864"/>
      <c r="OW61"/>
      <c r="OX61"/>
      <c r="OY61"/>
      <c r="OZ61"/>
      <c r="PA61"/>
      <c r="PB61" s="593"/>
      <c r="PC61" s="593"/>
      <c r="PD61" s="593"/>
      <c r="PE61" s="593"/>
      <c r="PF61" s="593"/>
      <c r="PG61" s="593"/>
      <c r="PH61" s="593"/>
      <c r="PI61" s="593"/>
      <c r="PJ61" s="593"/>
      <c r="PK61" s="593"/>
      <c r="PL61"/>
      <c r="PM61"/>
      <c r="PN61"/>
      <c r="PO61"/>
      <c r="PP61"/>
      <c r="PR61"/>
      <c r="PS61"/>
      <c r="PT61"/>
      <c r="PU61"/>
      <c r="PV61"/>
      <c r="PW61"/>
      <c r="PX61"/>
      <c r="PY61"/>
      <c r="PZ61"/>
      <c r="QA61"/>
      <c r="QB61"/>
      <c r="QC61"/>
      <c r="QD61"/>
      <c r="QE61"/>
      <c r="QF61"/>
      <c r="QG61"/>
      <c r="QH61"/>
      <c r="RY61" s="1"/>
      <c r="RZ61" s="1"/>
      <c r="SA61" s="1"/>
      <c r="SB61" s="1"/>
      <c r="SC61" s="1"/>
      <c r="SD61" s="1"/>
      <c r="SE61" s="1"/>
      <c r="SF61" s="1"/>
      <c r="SG61" s="1"/>
      <c r="SH61" s="1"/>
      <c r="SI61" s="1"/>
      <c r="SJ61" s="1"/>
      <c r="SK61" s="1"/>
      <c r="SL61" s="336">
        <f>ROW()</f>
        <v>61</v>
      </c>
      <c r="SM61" s="329"/>
      <c r="SN61" s="338"/>
      <c r="SO61" s="363"/>
      <c r="SP61" s="363"/>
      <c r="SQ61" s="363"/>
      <c r="SR61" s="363"/>
      <c r="SS61" s="363"/>
      <c r="ST61" s="363"/>
      <c r="SU61" s="363"/>
      <c r="SV61" s="363"/>
      <c r="SW61" s="363"/>
      <c r="SX61" s="363"/>
      <c r="SY61" s="363"/>
      <c r="SZ61" s="363"/>
      <c r="TA61" s="363"/>
      <c r="TB61" s="579"/>
      <c r="TC61" s="579"/>
      <c r="TK61"/>
      <c r="TL61"/>
      <c r="TM61"/>
      <c r="TN61"/>
      <c r="TO61"/>
      <c r="TP61"/>
      <c r="TQ61"/>
      <c r="TR61"/>
      <c r="TS61"/>
      <c r="TT61"/>
      <c r="TU61"/>
      <c r="TV61"/>
      <c r="TW61"/>
    </row>
    <row r="62" spans="1:548" ht="15" thickBot="1" x14ac:dyDescent="0.4">
      <c r="A62" s="111">
        <f>ROW()</f>
        <v>62</v>
      </c>
      <c r="B62" s="241" t="s">
        <v>830</v>
      </c>
      <c r="C62" s="205"/>
      <c r="D62" s="121"/>
      <c r="E62" s="121">
        <f t="shared" ref="E62:N62" si="242">SUM(E60:E61)</f>
        <v>0</v>
      </c>
      <c r="F62" s="121">
        <f t="shared" si="242"/>
        <v>0</v>
      </c>
      <c r="G62" s="121">
        <f t="shared" si="242"/>
        <v>0</v>
      </c>
      <c r="H62" s="121">
        <f t="shared" si="242"/>
        <v>0</v>
      </c>
      <c r="I62" s="121">
        <f t="shared" si="242"/>
        <v>0</v>
      </c>
      <c r="J62" s="121">
        <f t="shared" si="242"/>
        <v>0</v>
      </c>
      <c r="K62" s="121">
        <f t="shared" si="242"/>
        <v>0</v>
      </c>
      <c r="L62" s="121">
        <f t="shared" si="242"/>
        <v>0</v>
      </c>
      <c r="M62" s="121">
        <f t="shared" si="242"/>
        <v>0</v>
      </c>
      <c r="N62" s="121">
        <f t="shared" si="242"/>
        <v>0</v>
      </c>
      <c r="O62" s="121">
        <f t="shared" ref="O62:R62" si="243">SUM(O60:O61)</f>
        <v>0</v>
      </c>
      <c r="P62" s="121">
        <f t="shared" si="243"/>
        <v>0</v>
      </c>
      <c r="Q62" s="121">
        <f t="shared" si="243"/>
        <v>0</v>
      </c>
      <c r="R62" s="121">
        <f t="shared" si="243"/>
        <v>0</v>
      </c>
      <c r="S62" s="111">
        <f>ROW()</f>
        <v>62</v>
      </c>
      <c r="V62" s="587"/>
      <c r="AK62" s="162"/>
      <c r="AL62"/>
      <c r="AM62"/>
      <c r="AN62"/>
      <c r="AO62"/>
      <c r="AP62"/>
      <c r="AQ62"/>
      <c r="AR62"/>
      <c r="AS62"/>
      <c r="AT62"/>
      <c r="AU62"/>
      <c r="AV62"/>
      <c r="AW62"/>
      <c r="AX62"/>
      <c r="AY62"/>
      <c r="AZ62"/>
      <c r="BA62"/>
      <c r="BB62"/>
      <c r="BD62"/>
      <c r="BE62"/>
      <c r="BF62"/>
      <c r="BG62"/>
      <c r="BH62"/>
      <c r="BI62"/>
      <c r="BJ62"/>
      <c r="BK62"/>
      <c r="BL62"/>
      <c r="BM62"/>
      <c r="BN62"/>
      <c r="BO62"/>
      <c r="BP62"/>
      <c r="BQ62"/>
      <c r="BR62"/>
      <c r="BS62"/>
      <c r="BT62"/>
      <c r="BV62"/>
      <c r="BW62"/>
      <c r="BX62"/>
      <c r="BY62"/>
      <c r="BZ62"/>
      <c r="CA62"/>
      <c r="CB62"/>
      <c r="IS62"/>
      <c r="IT62"/>
      <c r="IU62"/>
      <c r="IV62"/>
      <c r="IW62"/>
      <c r="IX62"/>
      <c r="IY62"/>
      <c r="IZ62"/>
      <c r="JK62"/>
      <c r="JL62"/>
      <c r="JM62"/>
      <c r="JN62"/>
      <c r="JO62"/>
      <c r="JP62"/>
      <c r="JQ62"/>
      <c r="JR62"/>
      <c r="JS62"/>
      <c r="JT62"/>
      <c r="JU62"/>
      <c r="JV62"/>
      <c r="JW62"/>
      <c r="JX62"/>
      <c r="JY62"/>
      <c r="JZ62"/>
      <c r="KA62"/>
      <c r="KB62"/>
      <c r="NP62" s="397"/>
      <c r="OC62" s="864"/>
      <c r="OD62" s="864"/>
      <c r="OE62" s="864"/>
      <c r="OF62" s="864"/>
      <c r="OW62"/>
      <c r="OX62"/>
      <c r="OY62"/>
      <c r="OZ62"/>
      <c r="PA62"/>
      <c r="PB62" s="593"/>
      <c r="PC62" s="593"/>
      <c r="PD62" s="593"/>
      <c r="PE62" s="593"/>
      <c r="PF62" s="593"/>
      <c r="PG62" s="593"/>
      <c r="PH62" s="593"/>
      <c r="PI62" s="593"/>
      <c r="PJ62" s="593"/>
      <c r="PK62" s="593"/>
      <c r="PL62"/>
      <c r="PM62"/>
      <c r="PN62"/>
      <c r="PO62"/>
      <c r="PP62"/>
      <c r="PR62"/>
      <c r="PS62"/>
      <c r="PT62"/>
      <c r="PU62"/>
      <c r="PV62"/>
      <c r="PW62"/>
      <c r="PX62"/>
      <c r="PY62"/>
      <c r="PZ62"/>
      <c r="QA62"/>
      <c r="QB62"/>
      <c r="QC62"/>
      <c r="QD62"/>
      <c r="QE62"/>
      <c r="QF62"/>
      <c r="QG62"/>
      <c r="QH62"/>
      <c r="RY62" s="1"/>
      <c r="RZ62" s="1"/>
      <c r="SA62" s="1"/>
      <c r="SB62" s="1"/>
      <c r="SC62" s="1"/>
      <c r="SD62" s="1"/>
      <c r="SE62" s="1"/>
      <c r="SF62" s="1"/>
      <c r="SG62" s="1"/>
      <c r="SH62" s="1"/>
      <c r="SI62" s="1"/>
      <c r="SJ62" s="1"/>
      <c r="SK62" s="1"/>
      <c r="SL62" s="336">
        <f>ROW()</f>
        <v>62</v>
      </c>
      <c r="SM62" s="329" t="s">
        <v>224</v>
      </c>
      <c r="SN62" s="338"/>
      <c r="SO62" s="364"/>
      <c r="SP62" s="364"/>
      <c r="SQ62" s="364"/>
      <c r="SR62" s="364">
        <f t="shared" ref="SR62:SY62" si="244">-SR58-SR60</f>
        <v>-488.0462</v>
      </c>
      <c r="SS62" s="364">
        <f t="shared" si="244"/>
        <v>-488.0462</v>
      </c>
      <c r="ST62" s="364">
        <f t="shared" si="244"/>
        <v>-12006.538499999999</v>
      </c>
      <c r="SU62" s="364">
        <f t="shared" si="244"/>
        <v>-12494.584699999999</v>
      </c>
      <c r="SV62" s="364">
        <f t="shared" si="244"/>
        <v>-355434.6433</v>
      </c>
      <c r="SW62" s="364">
        <f t="shared" si="244"/>
        <v>-367929.228</v>
      </c>
      <c r="SX62" s="364">
        <f t="shared" si="244"/>
        <v>-192576.32291440002</v>
      </c>
      <c r="SY62" s="364">
        <f t="shared" si="244"/>
        <v>-560505.55091440002</v>
      </c>
      <c r="SZ62" s="364"/>
      <c r="TA62" s="364"/>
      <c r="TB62" s="578"/>
      <c r="TC62" s="578"/>
      <c r="TK62"/>
      <c r="TL62"/>
      <c r="TM62"/>
      <c r="TN62"/>
      <c r="TO62"/>
      <c r="TP62"/>
      <c r="TQ62"/>
      <c r="TR62"/>
      <c r="TS62"/>
      <c r="TT62"/>
      <c r="TU62"/>
      <c r="TV62"/>
      <c r="TW62"/>
    </row>
    <row r="63" spans="1:548" ht="15" thickTop="1" x14ac:dyDescent="0.35">
      <c r="A63" s="111">
        <f>ROW()</f>
        <v>63</v>
      </c>
      <c r="B63" s="585"/>
      <c r="D63" s="121"/>
      <c r="E63" s="121"/>
      <c r="F63" s="121"/>
      <c r="G63" s="121"/>
      <c r="H63" s="175"/>
      <c r="I63" s="121"/>
      <c r="J63" s="121"/>
      <c r="K63" s="121"/>
      <c r="L63" s="121"/>
      <c r="M63" s="121"/>
      <c r="N63" s="121"/>
      <c r="O63" s="121"/>
      <c r="P63" s="121"/>
      <c r="Q63" s="121"/>
      <c r="R63" s="121"/>
      <c r="S63" s="111">
        <f>ROW()</f>
        <v>63</v>
      </c>
      <c r="T63" s="131" t="s">
        <v>293</v>
      </c>
      <c r="U63" s="131"/>
      <c r="V63" s="121">
        <f t="shared" ref="V63:AF63" si="245">+V33-V39-V61</f>
        <v>-2638496.5666873455</v>
      </c>
      <c r="W63" s="121">
        <f t="shared" si="245"/>
        <v>2638496.5666873455</v>
      </c>
      <c r="X63" s="121">
        <f t="shared" si="245"/>
        <v>0</v>
      </c>
      <c r="Y63" s="121">
        <f t="shared" si="245"/>
        <v>0</v>
      </c>
      <c r="Z63" s="121">
        <f t="shared" si="245"/>
        <v>0</v>
      </c>
      <c r="AA63" s="121">
        <f t="shared" si="245"/>
        <v>0</v>
      </c>
      <c r="AB63" s="121">
        <f t="shared" si="245"/>
        <v>0</v>
      </c>
      <c r="AC63" s="121">
        <f t="shared" si="245"/>
        <v>0</v>
      </c>
      <c r="AD63" s="121">
        <f t="shared" si="245"/>
        <v>0</v>
      </c>
      <c r="AE63" s="121">
        <f t="shared" si="245"/>
        <v>0</v>
      </c>
      <c r="AF63" s="121">
        <f t="shared" si="245"/>
        <v>0</v>
      </c>
      <c r="AG63" s="121"/>
      <c r="AH63" s="121"/>
      <c r="AI63" s="121"/>
      <c r="AJ63" s="121"/>
      <c r="AK63" s="162"/>
      <c r="AL63"/>
      <c r="AM63"/>
      <c r="AN63"/>
      <c r="AO63"/>
      <c r="AP63"/>
      <c r="AQ63"/>
      <c r="AR63"/>
      <c r="AS63"/>
      <c r="AT63"/>
      <c r="AU63"/>
      <c r="AV63"/>
      <c r="AW63"/>
      <c r="AX63"/>
      <c r="AY63"/>
      <c r="AZ63"/>
      <c r="BA63"/>
      <c r="BB63"/>
      <c r="BD63"/>
      <c r="BE63"/>
      <c r="BF63"/>
      <c r="BG63"/>
      <c r="BH63"/>
      <c r="BI63"/>
      <c r="BJ63"/>
      <c r="BK63"/>
      <c r="BL63"/>
      <c r="BM63"/>
      <c r="BN63"/>
      <c r="BO63"/>
      <c r="BP63"/>
      <c r="BQ63"/>
      <c r="BR63"/>
      <c r="BS63"/>
      <c r="BT63"/>
      <c r="BV63"/>
      <c r="BW63"/>
      <c r="BX63"/>
      <c r="BY63"/>
      <c r="BZ63"/>
      <c r="CA63"/>
      <c r="CB63"/>
      <c r="IS63"/>
      <c r="IT63"/>
      <c r="IU63"/>
      <c r="IV63"/>
      <c r="IW63"/>
      <c r="IX63"/>
      <c r="IY63"/>
      <c r="IZ63"/>
      <c r="JK63"/>
      <c r="JL63"/>
      <c r="JM63"/>
      <c r="JN63"/>
      <c r="JO63"/>
      <c r="JP63"/>
      <c r="JQ63"/>
      <c r="JR63"/>
      <c r="JS63"/>
      <c r="JT63"/>
      <c r="JU63"/>
      <c r="JV63"/>
      <c r="JW63"/>
      <c r="JX63"/>
      <c r="JY63"/>
      <c r="JZ63"/>
      <c r="KA63"/>
      <c r="KB63"/>
      <c r="NP63" s="397"/>
      <c r="OC63" s="864"/>
      <c r="OD63" s="864"/>
      <c r="OE63" s="864"/>
      <c r="OF63" s="864"/>
      <c r="OW63"/>
      <c r="OX63"/>
      <c r="OY63"/>
      <c r="OZ63"/>
      <c r="PA63"/>
      <c r="PB63" s="593"/>
      <c r="PC63" s="593"/>
      <c r="PD63" s="593"/>
      <c r="PE63" s="593"/>
      <c r="PF63" s="593"/>
      <c r="PG63" s="593"/>
      <c r="PH63" s="593"/>
      <c r="PI63" s="593"/>
      <c r="PJ63" s="593"/>
      <c r="PK63" s="593"/>
      <c r="PL63"/>
      <c r="PM63"/>
      <c r="PN63"/>
      <c r="PO63"/>
      <c r="PP63"/>
      <c r="PR63"/>
      <c r="PS63"/>
      <c r="PT63"/>
      <c r="PU63"/>
      <c r="PV63"/>
      <c r="PW63"/>
      <c r="PX63"/>
      <c r="PY63"/>
      <c r="PZ63"/>
      <c r="QA63"/>
      <c r="QB63"/>
      <c r="QC63"/>
      <c r="QD63"/>
      <c r="QE63"/>
      <c r="QF63"/>
      <c r="QG63"/>
      <c r="QH63"/>
      <c r="RY63" s="1"/>
      <c r="RZ63" s="1"/>
      <c r="SA63" s="1"/>
      <c r="SB63" s="1"/>
      <c r="SC63" s="1"/>
      <c r="SD63" s="1"/>
      <c r="SE63" s="1"/>
      <c r="SF63" s="1"/>
      <c r="SG63" s="1"/>
      <c r="SH63" s="1"/>
      <c r="SI63" s="1"/>
      <c r="SJ63" s="1"/>
      <c r="SK63" s="1"/>
      <c r="SL63" s="336">
        <f>ROW()</f>
        <v>63</v>
      </c>
      <c r="SM63" s="329"/>
      <c r="SN63" s="338"/>
      <c r="SO63" s="341"/>
      <c r="SP63" s="341"/>
      <c r="SQ63" s="341"/>
      <c r="SR63" s="341"/>
      <c r="SS63" s="341"/>
      <c r="ST63" s="341"/>
      <c r="SU63" s="341"/>
      <c r="SV63" s="341"/>
      <c r="SW63" s="341"/>
      <c r="SX63" s="341"/>
      <c r="SY63" s="341"/>
      <c r="SZ63" s="341"/>
      <c r="TA63" s="341"/>
      <c r="TB63" s="581"/>
      <c r="TC63" s="581"/>
      <c r="TK63"/>
      <c r="TL63"/>
      <c r="TM63"/>
      <c r="TN63"/>
      <c r="TO63"/>
      <c r="TP63"/>
      <c r="TQ63"/>
      <c r="TR63"/>
      <c r="TS63"/>
      <c r="TT63"/>
      <c r="TU63"/>
      <c r="TV63"/>
      <c r="TW63"/>
    </row>
    <row r="64" spans="1:548" x14ac:dyDescent="0.35">
      <c r="A64" s="111">
        <f>ROW()</f>
        <v>64</v>
      </c>
      <c r="B64" s="241" t="s">
        <v>252</v>
      </c>
      <c r="C64" s="132">
        <f>+'Def, COC, ConvF DPK-7 '!P12</f>
        <v>2.8909999999999999E-3</v>
      </c>
      <c r="D64" s="417">
        <f t="shared" ref="D64:N64" si="246">D56*$C$64</f>
        <v>0</v>
      </c>
      <c r="E64" s="417">
        <f t="shared" si="246"/>
        <v>123632.45326100978</v>
      </c>
      <c r="F64" s="417">
        <f t="shared" si="246"/>
        <v>0</v>
      </c>
      <c r="G64" s="417">
        <f t="shared" si="246"/>
        <v>-168750.04899203134</v>
      </c>
      <c r="H64" s="417">
        <f t="shared" si="246"/>
        <v>0</v>
      </c>
      <c r="I64" s="417">
        <f t="shared" si="246"/>
        <v>584.03692899999999</v>
      </c>
      <c r="J64" s="417">
        <f t="shared" si="246"/>
        <v>0</v>
      </c>
      <c r="K64" s="417">
        <f t="shared" si="246"/>
        <v>-10419.933005999999</v>
      </c>
      <c r="L64" s="417">
        <f t="shared" si="246"/>
        <v>0</v>
      </c>
      <c r="M64" s="417">
        <f t="shared" si="246"/>
        <v>-1407.1740130000001</v>
      </c>
      <c r="N64" s="417">
        <f t="shared" si="246"/>
        <v>0</v>
      </c>
      <c r="O64" s="417"/>
      <c r="P64" s="417"/>
      <c r="Q64" s="417"/>
      <c r="R64" s="417"/>
      <c r="S64" s="111">
        <f>ROW()</f>
        <v>64</v>
      </c>
      <c r="T64" s="131" t="s">
        <v>975</v>
      </c>
      <c r="U64" s="130">
        <f>FIT</f>
        <v>0.21</v>
      </c>
      <c r="V64" s="121">
        <f t="shared" ref="V64:AF64" si="247">V63*$U64</f>
        <v>-554084.2790043425</v>
      </c>
      <c r="W64" s="121">
        <f t="shared" si="247"/>
        <v>554084.2790043425</v>
      </c>
      <c r="X64" s="121">
        <f t="shared" si="247"/>
        <v>0</v>
      </c>
      <c r="Y64" s="121">
        <f t="shared" si="247"/>
        <v>0</v>
      </c>
      <c r="Z64" s="121">
        <f t="shared" si="247"/>
        <v>0</v>
      </c>
      <c r="AA64" s="121">
        <f t="shared" si="247"/>
        <v>0</v>
      </c>
      <c r="AB64" s="121">
        <f t="shared" si="247"/>
        <v>0</v>
      </c>
      <c r="AC64" s="121">
        <f t="shared" si="247"/>
        <v>0</v>
      </c>
      <c r="AD64" s="121">
        <f t="shared" si="247"/>
        <v>0</v>
      </c>
      <c r="AE64" s="121">
        <f t="shared" si="247"/>
        <v>0</v>
      </c>
      <c r="AF64" s="121">
        <f t="shared" si="247"/>
        <v>0</v>
      </c>
      <c r="AG64" s="121"/>
      <c r="AH64" s="121"/>
      <c r="AI64" s="121"/>
      <c r="AJ64" s="121"/>
      <c r="AK64" s="162"/>
      <c r="AL64"/>
      <c r="AM64"/>
      <c r="AN64"/>
      <c r="AO64"/>
      <c r="AP64"/>
      <c r="AQ64"/>
      <c r="AR64"/>
      <c r="AS64"/>
      <c r="AT64"/>
      <c r="AU64"/>
      <c r="AV64"/>
      <c r="AW64"/>
      <c r="AX64"/>
      <c r="AY64"/>
      <c r="AZ64"/>
      <c r="BA64"/>
      <c r="BB64"/>
      <c r="BD64"/>
      <c r="BE64"/>
      <c r="BF64"/>
      <c r="BG64"/>
      <c r="BH64"/>
      <c r="BI64"/>
      <c r="BJ64"/>
      <c r="BK64"/>
      <c r="BL64"/>
      <c r="BM64"/>
      <c r="BN64"/>
      <c r="BO64"/>
      <c r="BP64"/>
      <c r="BQ64"/>
      <c r="BR64"/>
      <c r="BS64"/>
      <c r="BT64"/>
      <c r="BV64"/>
      <c r="BW64"/>
      <c r="BX64"/>
      <c r="BY64"/>
      <c r="BZ64"/>
      <c r="CA64"/>
      <c r="CB64"/>
      <c r="IS64"/>
      <c r="IT64"/>
      <c r="IU64"/>
      <c r="IV64"/>
      <c r="IW64"/>
      <c r="IX64"/>
      <c r="IY64"/>
      <c r="IZ64"/>
      <c r="JK64"/>
      <c r="JL64"/>
      <c r="JM64"/>
      <c r="JN64"/>
      <c r="JO64"/>
      <c r="JP64"/>
      <c r="JQ64"/>
      <c r="JR64"/>
      <c r="JS64"/>
      <c r="JT64"/>
      <c r="JU64"/>
      <c r="JV64"/>
      <c r="JW64"/>
      <c r="NP64" s="397"/>
      <c r="OC64" s="864"/>
      <c r="OD64" s="864"/>
      <c r="OE64" s="864"/>
      <c r="OF64" s="864"/>
      <c r="OW64"/>
      <c r="OX64"/>
      <c r="OY64"/>
      <c r="OZ64"/>
      <c r="PA64"/>
      <c r="PB64" s="593"/>
      <c r="PC64" s="593"/>
      <c r="PD64" s="593"/>
      <c r="PE64" s="593"/>
      <c r="PF64" s="593"/>
      <c r="PG64" s="593"/>
      <c r="PH64" s="593"/>
      <c r="PI64" s="593"/>
      <c r="PJ64" s="593"/>
      <c r="PK64" s="593"/>
      <c r="PL64"/>
      <c r="PM64"/>
      <c r="PN64"/>
      <c r="PO64"/>
      <c r="PP64"/>
      <c r="PR64"/>
      <c r="PS64"/>
      <c r="PT64"/>
      <c r="PU64"/>
      <c r="PV64"/>
      <c r="PW64"/>
      <c r="PX64"/>
      <c r="PY64"/>
      <c r="PZ64"/>
      <c r="QA64"/>
      <c r="QB64"/>
      <c r="QC64"/>
      <c r="QD64"/>
      <c r="QE64"/>
      <c r="QF64"/>
      <c r="QG64"/>
      <c r="QH64"/>
      <c r="RY64" s="1"/>
      <c r="RZ64" s="1"/>
      <c r="SA64" s="1"/>
      <c r="SB64" s="1"/>
      <c r="SC64" s="1"/>
      <c r="SD64" s="1"/>
      <c r="SE64" s="1"/>
      <c r="SF64" s="1"/>
      <c r="SG64" s="1"/>
      <c r="SH64" s="1"/>
      <c r="SI64" s="1"/>
      <c r="SJ64" s="1"/>
      <c r="SK64" s="1"/>
      <c r="SL64" s="336">
        <f>ROW()</f>
        <v>64</v>
      </c>
      <c r="SM64" s="329" t="s">
        <v>898</v>
      </c>
      <c r="SN64" s="338"/>
      <c r="SO64" s="362"/>
      <c r="SP64" s="362"/>
      <c r="SQ64" s="362"/>
      <c r="SR64" s="362">
        <v>58932.5</v>
      </c>
      <c r="SS64" s="362">
        <f t="shared" ref="SS64:SS66" si="248">SR64</f>
        <v>58932.5</v>
      </c>
      <c r="ST64" s="362">
        <v>13145865.390000001</v>
      </c>
      <c r="SU64" s="362">
        <f t="shared" ref="SU64:SU66" si="249">ST64+SS64</f>
        <v>13204797.890000001</v>
      </c>
      <c r="SV64" s="362">
        <v>0</v>
      </c>
      <c r="SW64" s="362">
        <f t="shared" ref="SW64:SW66" si="250">SV64+SU64</f>
        <v>13204797.890000001</v>
      </c>
      <c r="SX64" s="362">
        <v>2437674.9908750001</v>
      </c>
      <c r="SY64" s="362">
        <f t="shared" ref="SY64:SY66" si="251">SX64+SW64</f>
        <v>15642472.880875001</v>
      </c>
      <c r="SZ64" s="362"/>
      <c r="TA64" s="362"/>
      <c r="TB64" s="576"/>
      <c r="TC64" s="576"/>
      <c r="TK64"/>
      <c r="TL64"/>
      <c r="TM64"/>
      <c r="TN64"/>
      <c r="TO64"/>
      <c r="TP64"/>
      <c r="TQ64"/>
      <c r="TR64"/>
      <c r="TS64"/>
      <c r="TT64"/>
      <c r="TU64"/>
      <c r="TV64"/>
      <c r="TW64"/>
    </row>
    <row r="65" spans="1:543" ht="15" thickBot="1" x14ac:dyDescent="0.4">
      <c r="A65" s="111">
        <f>ROW()</f>
        <v>65</v>
      </c>
      <c r="B65" s="241" t="s">
        <v>262</v>
      </c>
      <c r="C65" s="132">
        <f>+'Def, COC, ConvF DPK-7 '!P13</f>
        <v>4.0000000000000001E-3</v>
      </c>
      <c r="D65" s="417">
        <f t="shared" ref="D65:N65" si="252">D56*$C$65</f>
        <v>0</v>
      </c>
      <c r="E65" s="417">
        <f t="shared" si="252"/>
        <v>171058.39261295024</v>
      </c>
      <c r="F65" s="417">
        <f t="shared" si="252"/>
        <v>0</v>
      </c>
      <c r="G65" s="417">
        <f t="shared" si="252"/>
        <v>-233483.29158357851</v>
      </c>
      <c r="H65" s="417">
        <f t="shared" si="252"/>
        <v>0</v>
      </c>
      <c r="I65" s="417">
        <f t="shared" si="252"/>
        <v>808.07600000000002</v>
      </c>
      <c r="J65" s="417">
        <f t="shared" si="252"/>
        <v>0</v>
      </c>
      <c r="K65" s="417">
        <f t="shared" si="252"/>
        <v>-14417.064</v>
      </c>
      <c r="L65" s="417">
        <f t="shared" si="252"/>
        <v>0</v>
      </c>
      <c r="M65" s="417">
        <f t="shared" si="252"/>
        <v>-1946.972</v>
      </c>
      <c r="N65" s="417">
        <f t="shared" si="252"/>
        <v>0</v>
      </c>
      <c r="O65" s="417"/>
      <c r="P65" s="417"/>
      <c r="Q65" s="417"/>
      <c r="R65" s="417"/>
      <c r="S65" s="111">
        <f>ROW()</f>
        <v>65</v>
      </c>
      <c r="T65" s="131" t="s">
        <v>224</v>
      </c>
      <c r="U65" s="131"/>
      <c r="V65" s="383">
        <f t="shared" ref="V65:AF65" si="253">V63-V64</f>
        <v>-2084412.2876830031</v>
      </c>
      <c r="W65" s="383">
        <f t="shared" si="253"/>
        <v>2084412.2876830031</v>
      </c>
      <c r="X65" s="383">
        <f t="shared" si="253"/>
        <v>0</v>
      </c>
      <c r="Y65" s="383">
        <f t="shared" si="253"/>
        <v>0</v>
      </c>
      <c r="Z65" s="383">
        <f t="shared" si="253"/>
        <v>0</v>
      </c>
      <c r="AA65" s="383">
        <f t="shared" si="253"/>
        <v>0</v>
      </c>
      <c r="AB65" s="383">
        <f t="shared" si="253"/>
        <v>0</v>
      </c>
      <c r="AC65" s="383">
        <f t="shared" si="253"/>
        <v>0</v>
      </c>
      <c r="AD65" s="383">
        <f t="shared" si="253"/>
        <v>0</v>
      </c>
      <c r="AE65" s="383">
        <f t="shared" si="253"/>
        <v>0</v>
      </c>
      <c r="AF65" s="383">
        <f t="shared" si="253"/>
        <v>0</v>
      </c>
      <c r="AG65" s="383"/>
      <c r="AH65" s="383"/>
      <c r="AI65" s="383"/>
      <c r="AJ65" s="383"/>
      <c r="AK65" s="162"/>
      <c r="AL65"/>
      <c r="AM65"/>
      <c r="AN65"/>
      <c r="AO65"/>
      <c r="AP65"/>
      <c r="AQ65"/>
      <c r="AR65"/>
      <c r="AS65"/>
      <c r="AT65"/>
      <c r="AU65"/>
      <c r="AV65"/>
      <c r="AW65"/>
      <c r="AX65"/>
      <c r="AY65"/>
      <c r="AZ65"/>
      <c r="BA65"/>
      <c r="BB65"/>
      <c r="BD65"/>
      <c r="BE65"/>
      <c r="BF65"/>
      <c r="BG65"/>
      <c r="BH65"/>
      <c r="BI65"/>
      <c r="BJ65"/>
      <c r="BK65"/>
      <c r="BL65"/>
      <c r="BM65"/>
      <c r="BN65"/>
      <c r="BO65"/>
      <c r="BP65"/>
      <c r="BQ65"/>
      <c r="BR65"/>
      <c r="BS65"/>
      <c r="BT65"/>
      <c r="BV65"/>
      <c r="BW65"/>
      <c r="BX65"/>
      <c r="BY65"/>
      <c r="BZ65"/>
      <c r="CA65"/>
      <c r="CB65"/>
      <c r="IS65"/>
      <c r="IT65"/>
      <c r="IU65"/>
      <c r="IV65"/>
      <c r="IW65"/>
      <c r="IX65"/>
      <c r="IY65"/>
      <c r="IZ65"/>
      <c r="JK65"/>
      <c r="JL65"/>
      <c r="JM65"/>
      <c r="JN65"/>
      <c r="JO65"/>
      <c r="JP65"/>
      <c r="JQ65"/>
      <c r="JR65"/>
      <c r="JS65"/>
      <c r="JT65"/>
      <c r="JU65"/>
      <c r="JV65"/>
      <c r="JW65"/>
      <c r="NP65" s="397"/>
      <c r="OC65" s="864"/>
      <c r="OD65" s="864"/>
      <c r="OE65" s="864"/>
      <c r="OF65" s="864"/>
      <c r="OW65"/>
      <c r="OX65"/>
      <c r="OY65"/>
      <c r="OZ65"/>
      <c r="PA65"/>
      <c r="PB65" s="593"/>
      <c r="PC65" s="593"/>
      <c r="PD65" s="593"/>
      <c r="PE65" s="593"/>
      <c r="PF65" s="593"/>
      <c r="PG65" s="593"/>
      <c r="PH65" s="593"/>
      <c r="PI65" s="593"/>
      <c r="PJ65" s="593"/>
      <c r="PK65" s="593"/>
      <c r="PL65"/>
      <c r="PM65"/>
      <c r="PN65"/>
      <c r="PO65"/>
      <c r="PP65"/>
      <c r="PR65"/>
      <c r="PS65"/>
      <c r="PT65"/>
      <c r="PU65"/>
      <c r="PV65"/>
      <c r="PW65"/>
      <c r="PX65"/>
      <c r="PY65"/>
      <c r="PZ65"/>
      <c r="QA65"/>
      <c r="QB65"/>
      <c r="QC65"/>
      <c r="QD65"/>
      <c r="QE65"/>
      <c r="QF65"/>
      <c r="QG65"/>
      <c r="QH65"/>
      <c r="RY65" s="1"/>
      <c r="RZ65" s="1"/>
      <c r="SA65" s="1"/>
      <c r="SB65" s="1"/>
      <c r="SC65" s="1"/>
      <c r="SD65" s="1"/>
      <c r="SE65" s="1"/>
      <c r="SF65" s="1"/>
      <c r="SG65" s="1"/>
      <c r="SH65" s="1"/>
      <c r="SI65" s="1"/>
      <c r="SJ65" s="1"/>
      <c r="SK65" s="1"/>
      <c r="SL65" s="336">
        <f>ROW()</f>
        <v>65</v>
      </c>
      <c r="SM65" s="329" t="s">
        <v>899</v>
      </c>
      <c r="SN65" s="338"/>
      <c r="SO65" s="356"/>
      <c r="SP65" s="356"/>
      <c r="SQ65" s="356"/>
      <c r="SR65" s="356">
        <v>-617.78</v>
      </c>
      <c r="SS65" s="356">
        <f t="shared" si="248"/>
        <v>-617.78</v>
      </c>
      <c r="ST65" s="356">
        <v>-15815.929999999998</v>
      </c>
      <c r="SU65" s="356">
        <f t="shared" si="249"/>
        <v>-16433.71</v>
      </c>
      <c r="SV65" s="356">
        <v>-232866.6</v>
      </c>
      <c r="SW65" s="356">
        <f t="shared" si="250"/>
        <v>-249300.31</v>
      </c>
      <c r="SX65" s="356">
        <v>-492049.07124999998</v>
      </c>
      <c r="SY65" s="356">
        <f t="shared" si="251"/>
        <v>-741349.38124999998</v>
      </c>
      <c r="SZ65" s="356"/>
      <c r="TA65" s="356"/>
      <c r="TB65" s="525"/>
      <c r="TC65" s="525"/>
      <c r="TK65"/>
      <c r="TL65"/>
      <c r="TM65"/>
      <c r="TN65"/>
      <c r="TO65"/>
      <c r="TP65"/>
      <c r="TQ65"/>
      <c r="TR65"/>
      <c r="TS65"/>
      <c r="TT65"/>
      <c r="TU65"/>
      <c r="TV65"/>
      <c r="TW65"/>
    </row>
    <row r="66" spans="1:543" ht="15" thickTop="1" x14ac:dyDescent="0.35">
      <c r="A66" s="111">
        <f>ROW()</f>
        <v>66</v>
      </c>
      <c r="B66" s="241" t="s">
        <v>268</v>
      </c>
      <c r="C66" s="132">
        <f>+'Def, COC, ConvF DPK-7 '!P14</f>
        <v>3.8408999999999999E-2</v>
      </c>
      <c r="D66" s="418">
        <f t="shared" ref="D66:N66" si="254">(D56+D58)*$C$66</f>
        <v>0</v>
      </c>
      <c r="E66" s="418">
        <f t="shared" si="254"/>
        <v>1642545.4504677013</v>
      </c>
      <c r="F66" s="418">
        <f t="shared" si="254"/>
        <v>0</v>
      </c>
      <c r="G66" s="418">
        <f t="shared" si="254"/>
        <v>-2241964.9366084165</v>
      </c>
      <c r="H66" s="418">
        <f t="shared" si="254"/>
        <v>0</v>
      </c>
      <c r="I66" s="418">
        <f t="shared" si="254"/>
        <v>7759.3477709999997</v>
      </c>
      <c r="J66" s="418">
        <f t="shared" si="254"/>
        <v>0</v>
      </c>
      <c r="K66" s="418">
        <f t="shared" si="254"/>
        <v>-138436.252794</v>
      </c>
      <c r="L66" s="418">
        <f t="shared" si="254"/>
        <v>0</v>
      </c>
      <c r="M66" s="418">
        <f t="shared" si="254"/>
        <v>-18695.311887</v>
      </c>
      <c r="N66" s="418">
        <f t="shared" si="254"/>
        <v>0</v>
      </c>
      <c r="O66" s="418"/>
      <c r="P66" s="418"/>
      <c r="Q66" s="418"/>
      <c r="R66" s="418"/>
      <c r="S66" s="111">
        <f>ROW()</f>
        <v>66</v>
      </c>
      <c r="AK66" s="162"/>
      <c r="AL66"/>
      <c r="AM66"/>
      <c r="AN66"/>
      <c r="AO66"/>
      <c r="AP66"/>
      <c r="AQ66"/>
      <c r="AR66"/>
      <c r="AS66"/>
      <c r="AT66"/>
      <c r="AU66"/>
      <c r="AV66"/>
      <c r="AW66"/>
      <c r="AX66"/>
      <c r="AY66"/>
      <c r="AZ66"/>
      <c r="BA66"/>
      <c r="BB66"/>
      <c r="BD66"/>
      <c r="BE66"/>
      <c r="BF66"/>
      <c r="BG66"/>
      <c r="BH66"/>
      <c r="BI66"/>
      <c r="BJ66"/>
      <c r="BK66"/>
      <c r="BL66"/>
      <c r="BM66"/>
      <c r="BN66"/>
      <c r="BO66"/>
      <c r="BP66"/>
      <c r="BQ66"/>
      <c r="BR66"/>
      <c r="BS66"/>
      <c r="BT66"/>
      <c r="BV66"/>
      <c r="BW66"/>
      <c r="BX66"/>
      <c r="BY66"/>
      <c r="BZ66"/>
      <c r="CA66"/>
      <c r="CB66"/>
      <c r="IS66"/>
      <c r="IT66"/>
      <c r="IU66"/>
      <c r="IV66"/>
      <c r="IW66"/>
      <c r="IX66"/>
      <c r="IY66"/>
      <c r="IZ66"/>
      <c r="JK66"/>
      <c r="JL66"/>
      <c r="JM66"/>
      <c r="JN66"/>
      <c r="JO66"/>
      <c r="JP66"/>
      <c r="JQ66"/>
      <c r="JR66"/>
      <c r="JS66"/>
      <c r="JT66"/>
      <c r="JU66"/>
      <c r="JV66"/>
      <c r="JW66"/>
      <c r="NP66" s="397"/>
      <c r="OC66" s="864"/>
      <c r="OD66" s="864"/>
      <c r="OE66" s="864"/>
      <c r="OF66" s="864"/>
      <c r="OW66"/>
      <c r="OX66"/>
      <c r="OY66"/>
      <c r="OZ66"/>
      <c r="PA66"/>
      <c r="PB66" s="593"/>
      <c r="PC66" s="593"/>
      <c r="PD66" s="593"/>
      <c r="PE66" s="593"/>
      <c r="PF66" s="593"/>
      <c r="PG66" s="593"/>
      <c r="PH66" s="593"/>
      <c r="PI66" s="593"/>
      <c r="PJ66" s="593"/>
      <c r="PK66" s="593"/>
      <c r="PL66"/>
      <c r="PM66"/>
      <c r="PN66"/>
      <c r="PO66"/>
      <c r="PP66"/>
      <c r="PR66"/>
      <c r="PS66"/>
      <c r="PT66"/>
      <c r="PU66"/>
      <c r="PV66"/>
      <c r="PW66"/>
      <c r="PX66"/>
      <c r="PY66"/>
      <c r="PZ66"/>
      <c r="QA66"/>
      <c r="QB66"/>
      <c r="QC66"/>
      <c r="QD66"/>
      <c r="QE66"/>
      <c r="QF66"/>
      <c r="QG66"/>
      <c r="QH66"/>
      <c r="RY66" s="1"/>
      <c r="RZ66" s="1"/>
      <c r="SA66" s="1"/>
      <c r="SB66" s="1"/>
      <c r="SC66" s="1"/>
      <c r="SD66" s="1"/>
      <c r="SE66" s="1"/>
      <c r="SF66" s="1"/>
      <c r="SG66" s="1"/>
      <c r="SH66" s="1"/>
      <c r="SI66" s="1"/>
      <c r="SJ66" s="1"/>
      <c r="SK66" s="1"/>
      <c r="SL66" s="336">
        <f>ROW()</f>
        <v>66</v>
      </c>
      <c r="SM66" s="329" t="s">
        <v>900</v>
      </c>
      <c r="SN66" s="338"/>
      <c r="SO66" s="355"/>
      <c r="SP66" s="355"/>
      <c r="SQ66" s="355"/>
      <c r="SR66" s="355">
        <v>-334.38</v>
      </c>
      <c r="SS66" s="355">
        <f t="shared" si="248"/>
        <v>-334.38</v>
      </c>
      <c r="ST66" s="355">
        <v>-101095.87</v>
      </c>
      <c r="SU66" s="355">
        <f t="shared" si="249"/>
        <v>-101430.25</v>
      </c>
      <c r="SV66" s="355">
        <v>-47395.330000000016</v>
      </c>
      <c r="SW66" s="355">
        <f t="shared" si="250"/>
        <v>-148825.58000000002</v>
      </c>
      <c r="SX66" s="355">
        <v>-170827.32979499997</v>
      </c>
      <c r="SY66" s="355">
        <f t="shared" si="251"/>
        <v>-319652.90979499999</v>
      </c>
      <c r="SZ66" s="355"/>
      <c r="TA66" s="355"/>
      <c r="TB66" s="575"/>
      <c r="TC66" s="575"/>
      <c r="TK66"/>
      <c r="TL66"/>
      <c r="TM66"/>
      <c r="TN66"/>
      <c r="TO66"/>
      <c r="TP66"/>
      <c r="TQ66"/>
      <c r="TR66"/>
      <c r="TS66"/>
      <c r="TT66"/>
      <c r="TU66"/>
      <c r="TV66"/>
      <c r="TW66"/>
    </row>
    <row r="67" spans="1:543" ht="15" thickBot="1" x14ac:dyDescent="0.4">
      <c r="A67" s="111">
        <f>ROW()</f>
        <v>67</v>
      </c>
      <c r="B67" s="584" t="s">
        <v>972</v>
      </c>
      <c r="D67" s="175">
        <f t="shared" ref="D67" si="255">SUM(D64:D66)</f>
        <v>0</v>
      </c>
      <c r="E67" s="175">
        <f>SUM(E64:E66)</f>
        <v>1937236.2963416614</v>
      </c>
      <c r="F67" s="175">
        <f t="shared" ref="F67" si="256">SUM(F64:F66)</f>
        <v>0</v>
      </c>
      <c r="G67" s="175">
        <f t="shared" ref="G67:N67" si="257">SUM(G64:G66)</f>
        <v>-2644198.2771840263</v>
      </c>
      <c r="H67" s="175">
        <f t="shared" si="257"/>
        <v>0</v>
      </c>
      <c r="I67" s="175">
        <f t="shared" si="257"/>
        <v>9151.4606999999996</v>
      </c>
      <c r="J67" s="175">
        <f t="shared" si="257"/>
        <v>0</v>
      </c>
      <c r="K67" s="175">
        <f t="shared" si="257"/>
        <v>-163273.24979999999</v>
      </c>
      <c r="L67" s="175">
        <f t="shared" si="257"/>
        <v>0</v>
      </c>
      <c r="M67" s="175">
        <f t="shared" si="257"/>
        <v>-22049.457900000001</v>
      </c>
      <c r="N67" s="175">
        <f t="shared" si="257"/>
        <v>0</v>
      </c>
      <c r="O67" s="175">
        <f t="shared" ref="O67:R67" si="258">SUM(O64:O66)</f>
        <v>0</v>
      </c>
      <c r="P67" s="175">
        <f t="shared" si="258"/>
        <v>0</v>
      </c>
      <c r="Q67" s="175">
        <f t="shared" si="258"/>
        <v>0</v>
      </c>
      <c r="R67" s="175">
        <f t="shared" si="258"/>
        <v>0</v>
      </c>
      <c r="S67" s="111">
        <f>ROW()</f>
        <v>67</v>
      </c>
      <c r="T67" s="250"/>
      <c r="U67" s="250"/>
      <c r="V67" s="250"/>
      <c r="W67" s="250"/>
      <c r="X67" s="250"/>
      <c r="Y67" s="250"/>
      <c r="Z67" s="250"/>
      <c r="AA67" s="250"/>
      <c r="AB67" s="250"/>
      <c r="AC67" s="250"/>
      <c r="AD67" s="250"/>
      <c r="AE67" s="250"/>
      <c r="AF67" s="250"/>
      <c r="AG67" s="250"/>
      <c r="AH67" s="250"/>
      <c r="AI67" s="250"/>
      <c r="AJ67" s="250"/>
      <c r="AL67"/>
      <c r="AM67"/>
      <c r="AN67"/>
      <c r="AO67"/>
      <c r="AP67"/>
      <c r="AQ67"/>
      <c r="AR67"/>
      <c r="AS67"/>
      <c r="AT67"/>
      <c r="AU67"/>
      <c r="AV67"/>
      <c r="AW67"/>
      <c r="AX67"/>
      <c r="AY67"/>
      <c r="AZ67"/>
      <c r="BA67"/>
      <c r="BB67"/>
      <c r="BD67"/>
      <c r="BE67"/>
      <c r="BF67"/>
      <c r="BG67"/>
      <c r="BH67"/>
      <c r="BI67"/>
      <c r="BJ67"/>
      <c r="BK67"/>
      <c r="BL67"/>
      <c r="BM67"/>
      <c r="BN67"/>
      <c r="BO67"/>
      <c r="BP67"/>
      <c r="BQ67"/>
      <c r="BR67"/>
      <c r="BS67"/>
      <c r="BT67"/>
      <c r="BV67"/>
      <c r="BW67"/>
      <c r="BX67"/>
      <c r="BY67"/>
      <c r="BZ67"/>
      <c r="CA67"/>
      <c r="CB67"/>
      <c r="IS67"/>
      <c r="IT67"/>
      <c r="IU67"/>
      <c r="IV67"/>
      <c r="IW67"/>
      <c r="IX67"/>
      <c r="IY67"/>
      <c r="IZ67"/>
      <c r="JK67"/>
      <c r="JL67"/>
      <c r="JM67"/>
      <c r="JN67"/>
      <c r="JO67"/>
      <c r="JP67"/>
      <c r="JQ67"/>
      <c r="JR67"/>
      <c r="JS67"/>
      <c r="JT67"/>
      <c r="JU67"/>
      <c r="JV67"/>
      <c r="JW67"/>
      <c r="NP67" s="397"/>
      <c r="OC67" s="864"/>
      <c r="OD67" s="864"/>
      <c r="OE67" s="864"/>
      <c r="OF67" s="864"/>
      <c r="OW67"/>
      <c r="OX67"/>
      <c r="OY67"/>
      <c r="OZ67"/>
      <c r="PA67"/>
      <c r="PB67" s="593"/>
      <c r="PC67" s="593"/>
      <c r="PD67" s="593"/>
      <c r="PE67" s="593"/>
      <c r="PF67" s="593"/>
      <c r="PG67" s="593"/>
      <c r="PH67" s="593"/>
      <c r="PI67" s="593"/>
      <c r="PJ67" s="593"/>
      <c r="PK67" s="593"/>
      <c r="PL67"/>
      <c r="PM67"/>
      <c r="PN67"/>
      <c r="PO67"/>
      <c r="PP67"/>
      <c r="PR67"/>
      <c r="PS67"/>
      <c r="PT67"/>
      <c r="PU67"/>
      <c r="PV67"/>
      <c r="PW67"/>
      <c r="PX67"/>
      <c r="PY67"/>
      <c r="PZ67"/>
      <c r="QA67"/>
      <c r="QB67"/>
      <c r="QC67"/>
      <c r="QD67"/>
      <c r="QE67"/>
      <c r="QF67"/>
      <c r="QG67"/>
      <c r="QH67"/>
      <c r="RY67" s="1"/>
      <c r="RZ67" s="1"/>
      <c r="SA67" s="1"/>
      <c r="SB67" s="1"/>
      <c r="SC67" s="1"/>
      <c r="SD67" s="1"/>
      <c r="SE67" s="1"/>
      <c r="SF67" s="1"/>
      <c r="SG67" s="1"/>
      <c r="SH67" s="1"/>
      <c r="SI67" s="1"/>
      <c r="SJ67" s="1"/>
      <c r="SK67" s="1"/>
      <c r="SL67" s="336">
        <f>ROW()</f>
        <v>67</v>
      </c>
      <c r="SM67" s="329" t="s">
        <v>872</v>
      </c>
      <c r="SN67" s="338"/>
      <c r="SO67" s="371"/>
      <c r="SP67" s="371"/>
      <c r="SQ67" s="371"/>
      <c r="SR67" s="371">
        <f t="shared" ref="SR67:SY67" si="259">SUM(SR64:SR66)</f>
        <v>57980.340000000004</v>
      </c>
      <c r="SS67" s="371">
        <f t="shared" si="259"/>
        <v>57980.340000000004</v>
      </c>
      <c r="ST67" s="371">
        <f t="shared" si="259"/>
        <v>13028953.590000002</v>
      </c>
      <c r="SU67" s="371">
        <f t="shared" si="259"/>
        <v>13086933.93</v>
      </c>
      <c r="SV67" s="371">
        <f t="shared" si="259"/>
        <v>-280261.93000000005</v>
      </c>
      <c r="SW67" s="371">
        <f t="shared" si="259"/>
        <v>12806672</v>
      </c>
      <c r="SX67" s="371">
        <f t="shared" si="259"/>
        <v>1774798.5898300002</v>
      </c>
      <c r="SY67" s="371">
        <f t="shared" si="259"/>
        <v>14581470.589830002</v>
      </c>
      <c r="SZ67" s="371"/>
      <c r="TA67" s="371"/>
      <c r="TB67" s="574"/>
      <c r="TC67" s="574"/>
      <c r="TK67"/>
      <c r="TL67"/>
      <c r="TM67"/>
      <c r="TN67"/>
      <c r="TO67"/>
      <c r="TP67"/>
      <c r="TQ67"/>
      <c r="TR67"/>
      <c r="TS67"/>
      <c r="TT67"/>
      <c r="TU67"/>
      <c r="TV67"/>
      <c r="TW67"/>
    </row>
    <row r="68" spans="1:543" ht="15" thickTop="1" x14ac:dyDescent="0.35">
      <c r="A68" s="111">
        <f>ROW()</f>
        <v>68</v>
      </c>
      <c r="B68" s="232"/>
      <c r="S68" s="111">
        <f>ROW()</f>
        <v>68</v>
      </c>
      <c r="T68" s="241" t="s">
        <v>48</v>
      </c>
      <c r="U68" s="241"/>
      <c r="V68" s="245">
        <f>SUM(V17:V22,V24,V26,V28,V29)</f>
        <v>727661685.21031713</v>
      </c>
      <c r="W68" s="245">
        <f>SUM(W17:W22,W24,W26,W28,W29)</f>
        <v>-727661685.21031713</v>
      </c>
      <c r="X68" s="245">
        <f t="shared" ref="X68:AF68" si="260">SUM(X17:X22,X26,X28)</f>
        <v>0</v>
      </c>
      <c r="Y68" s="245">
        <f t="shared" si="260"/>
        <v>0</v>
      </c>
      <c r="Z68" s="245">
        <f t="shared" si="260"/>
        <v>0</v>
      </c>
      <c r="AA68" s="245">
        <f t="shared" si="260"/>
        <v>0</v>
      </c>
      <c r="AB68" s="245">
        <f t="shared" si="260"/>
        <v>0</v>
      </c>
      <c r="AC68" s="245">
        <f t="shared" si="260"/>
        <v>0</v>
      </c>
      <c r="AD68" s="245">
        <f t="shared" si="260"/>
        <v>0</v>
      </c>
      <c r="AE68" s="245">
        <f t="shared" si="260"/>
        <v>0</v>
      </c>
      <c r="AF68" s="245">
        <f t="shared" si="260"/>
        <v>0</v>
      </c>
      <c r="AG68" s="245"/>
      <c r="AH68" s="245"/>
      <c r="AI68" s="245"/>
      <c r="AJ68" s="245"/>
      <c r="AL68"/>
      <c r="AM68"/>
      <c r="AN68"/>
      <c r="AO68"/>
      <c r="AP68"/>
      <c r="AQ68"/>
      <c r="AR68"/>
      <c r="AS68"/>
      <c r="AT68"/>
      <c r="AU68"/>
      <c r="AV68"/>
      <c r="AW68"/>
      <c r="AX68"/>
      <c r="AY68"/>
      <c r="AZ68"/>
      <c r="BA68"/>
      <c r="BB68"/>
      <c r="BD68"/>
      <c r="BE68"/>
      <c r="BF68"/>
      <c r="BG68"/>
      <c r="BH68"/>
      <c r="BI68"/>
      <c r="BJ68"/>
      <c r="BK68"/>
      <c r="BL68"/>
      <c r="BM68"/>
      <c r="BN68"/>
      <c r="BO68"/>
      <c r="BP68"/>
      <c r="BQ68"/>
      <c r="BR68"/>
      <c r="BS68"/>
      <c r="BT68"/>
      <c r="BV68"/>
      <c r="BW68"/>
      <c r="BX68"/>
      <c r="BY68"/>
      <c r="BZ68"/>
      <c r="CA68"/>
      <c r="CB68"/>
      <c r="IS68"/>
      <c r="IT68"/>
      <c r="IU68"/>
      <c r="IV68"/>
      <c r="IW68"/>
      <c r="IX68"/>
      <c r="IY68"/>
      <c r="IZ68"/>
      <c r="JK68"/>
      <c r="JL68"/>
      <c r="JM68"/>
      <c r="JN68"/>
      <c r="JO68"/>
      <c r="JP68"/>
      <c r="JQ68"/>
      <c r="JR68"/>
      <c r="JS68"/>
      <c r="JT68"/>
      <c r="JU68"/>
      <c r="JV68"/>
      <c r="JW68"/>
      <c r="NP68" s="397"/>
      <c r="OC68" s="864"/>
      <c r="OD68" s="864"/>
      <c r="OE68" s="864"/>
      <c r="OF68" s="864"/>
      <c r="OW68"/>
      <c r="OX68"/>
      <c r="OY68"/>
      <c r="OZ68"/>
      <c r="PA68"/>
      <c r="PB68" s="593"/>
      <c r="PC68" s="593"/>
      <c r="PD68" s="593"/>
      <c r="PE68" s="593"/>
      <c r="PF68" s="593"/>
      <c r="PG68" s="593"/>
      <c r="PH68" s="593"/>
      <c r="PI68" s="593"/>
      <c r="PJ68" s="593"/>
      <c r="PK68" s="593"/>
      <c r="PL68"/>
      <c r="PM68"/>
      <c r="PN68"/>
      <c r="PO68"/>
      <c r="PP68"/>
      <c r="PR68"/>
      <c r="PS68"/>
      <c r="PT68"/>
      <c r="PU68"/>
      <c r="PV68"/>
      <c r="PW68"/>
      <c r="PX68"/>
      <c r="PY68"/>
      <c r="PZ68"/>
      <c r="QA68"/>
      <c r="QB68"/>
      <c r="QC68"/>
      <c r="QD68"/>
      <c r="QE68"/>
      <c r="QF68"/>
      <c r="QG68"/>
      <c r="QH68"/>
      <c r="RY68" s="1"/>
      <c r="RZ68" s="1"/>
      <c r="SA68" s="1"/>
      <c r="SB68" s="1"/>
      <c r="SC68" s="1"/>
      <c r="SD68" s="1"/>
      <c r="SE68" s="1"/>
      <c r="SF68" s="1"/>
      <c r="SG68" s="1"/>
      <c r="SH68" s="1"/>
      <c r="SI68" s="1"/>
      <c r="SJ68" s="1"/>
      <c r="SK68" s="1"/>
      <c r="SL68" s="336">
        <f>ROW()</f>
        <v>68</v>
      </c>
      <c r="SM68" s="329"/>
      <c r="SN68" s="338"/>
      <c r="SO68" s="341"/>
      <c r="SP68" s="341"/>
      <c r="SQ68" s="341"/>
      <c r="SR68" s="341"/>
      <c r="SS68" s="341"/>
      <c r="ST68" s="341"/>
      <c r="SU68" s="341"/>
      <c r="SV68" s="341"/>
      <c r="SW68" s="341"/>
      <c r="SX68" s="341"/>
      <c r="SY68" s="341"/>
      <c r="SZ68" s="341"/>
      <c r="TA68" s="341"/>
      <c r="TB68" s="581"/>
      <c r="TC68" s="581"/>
      <c r="TK68"/>
      <c r="TL68"/>
      <c r="TM68"/>
      <c r="TN68"/>
      <c r="TO68"/>
      <c r="TP68"/>
      <c r="TQ68"/>
      <c r="TR68"/>
      <c r="TS68"/>
      <c r="TT68"/>
      <c r="TU68"/>
      <c r="TV68"/>
      <c r="TW68"/>
    </row>
    <row r="69" spans="1:543" x14ac:dyDescent="0.35">
      <c r="A69" s="111">
        <f>ROW()</f>
        <v>69</v>
      </c>
      <c r="B69" s="232" t="s">
        <v>831</v>
      </c>
      <c r="C69" s="202"/>
      <c r="D69" s="118">
        <f>+D56-D62-D67</f>
        <v>0</v>
      </c>
      <c r="E69" s="118">
        <f>+E56-E62-E67</f>
        <v>40827361.856895894</v>
      </c>
      <c r="F69" s="118">
        <f>+F56-F62-F67</f>
        <v>0</v>
      </c>
      <c r="G69" s="118">
        <f t="shared" ref="G69:N69" si="261">+G56-G62-G67</f>
        <v>-55726624.6187106</v>
      </c>
      <c r="H69" s="118">
        <f t="shared" si="261"/>
        <v>0</v>
      </c>
      <c r="I69" s="118">
        <f t="shared" si="261"/>
        <v>192867.5393</v>
      </c>
      <c r="J69" s="118">
        <f t="shared" si="261"/>
        <v>0</v>
      </c>
      <c r="K69" s="118">
        <f t="shared" si="261"/>
        <v>-3440992.7502000001</v>
      </c>
      <c r="L69" s="118">
        <f t="shared" si="261"/>
        <v>0</v>
      </c>
      <c r="M69" s="118">
        <f t="shared" si="261"/>
        <v>-464693.54210000002</v>
      </c>
      <c r="N69" s="118">
        <f t="shared" si="261"/>
        <v>0</v>
      </c>
      <c r="O69" s="118">
        <f t="shared" ref="O69:R69" si="262">+O56-O62-O67</f>
        <v>0</v>
      </c>
      <c r="P69" s="118">
        <f t="shared" si="262"/>
        <v>0</v>
      </c>
      <c r="Q69" s="118">
        <f t="shared" si="262"/>
        <v>0</v>
      </c>
      <c r="R69" s="118">
        <f t="shared" si="262"/>
        <v>0</v>
      </c>
      <c r="S69" s="111">
        <f>ROW()</f>
        <v>69</v>
      </c>
      <c r="T69" s="241" t="s">
        <v>51</v>
      </c>
      <c r="U69" s="241"/>
      <c r="V69" s="118">
        <f>SUM(V23,V25,V27,V30:V31,V32)</f>
        <v>-11058338.82</v>
      </c>
      <c r="W69" s="118">
        <f>SUM(W23,W25,W27,W30:W31,W32)</f>
        <v>11058338.82</v>
      </c>
      <c r="X69" s="118">
        <f t="shared" ref="X69:AF69" si="263">SUM(X23,X27,X29,X32)</f>
        <v>0</v>
      </c>
      <c r="Y69" s="118">
        <f t="shared" si="263"/>
        <v>0</v>
      </c>
      <c r="Z69" s="118">
        <f t="shared" si="263"/>
        <v>0</v>
      </c>
      <c r="AA69" s="118">
        <f t="shared" si="263"/>
        <v>0</v>
      </c>
      <c r="AB69" s="118">
        <f t="shared" si="263"/>
        <v>0</v>
      </c>
      <c r="AC69" s="118">
        <f t="shared" si="263"/>
        <v>0</v>
      </c>
      <c r="AD69" s="118">
        <f t="shared" si="263"/>
        <v>0</v>
      </c>
      <c r="AE69" s="118">
        <f t="shared" si="263"/>
        <v>0</v>
      </c>
      <c r="AF69" s="118">
        <f t="shared" si="263"/>
        <v>0</v>
      </c>
      <c r="AG69" s="118"/>
      <c r="AH69" s="118"/>
      <c r="AI69" s="118"/>
      <c r="AJ69" s="118"/>
      <c r="AL69"/>
      <c r="AM69"/>
      <c r="AN69"/>
      <c r="AO69"/>
      <c r="AP69"/>
      <c r="AQ69"/>
      <c r="AR69"/>
      <c r="AS69"/>
      <c r="AT69"/>
      <c r="AU69"/>
      <c r="AV69"/>
      <c r="AW69"/>
      <c r="AX69"/>
      <c r="AY69"/>
      <c r="AZ69"/>
      <c r="BA69"/>
      <c r="BB69"/>
      <c r="BD69"/>
      <c r="BE69"/>
      <c r="BF69"/>
      <c r="BG69"/>
      <c r="BH69"/>
      <c r="BI69"/>
      <c r="BJ69"/>
      <c r="BK69"/>
      <c r="BL69"/>
      <c r="BM69"/>
      <c r="BN69"/>
      <c r="BO69"/>
      <c r="BP69"/>
      <c r="BQ69"/>
      <c r="BR69"/>
      <c r="BS69"/>
      <c r="BT69"/>
      <c r="BV69"/>
      <c r="BW69"/>
      <c r="BX69"/>
      <c r="BY69"/>
      <c r="BZ69"/>
      <c r="CA69"/>
      <c r="CB69"/>
      <c r="IS69"/>
      <c r="IT69"/>
      <c r="IU69"/>
      <c r="IV69"/>
      <c r="IW69"/>
      <c r="IX69"/>
      <c r="IY69"/>
      <c r="IZ69"/>
      <c r="JK69"/>
      <c r="JL69"/>
      <c r="JM69"/>
      <c r="JN69"/>
      <c r="JO69"/>
      <c r="JP69"/>
      <c r="JQ69"/>
      <c r="JR69"/>
      <c r="JS69"/>
      <c r="JT69"/>
      <c r="JU69"/>
      <c r="JV69"/>
      <c r="JW69"/>
      <c r="NP69" s="397"/>
      <c r="OC69" s="864"/>
      <c r="OD69" s="864"/>
      <c r="OE69" s="864"/>
      <c r="OF69" s="864"/>
      <c r="OW69"/>
      <c r="OX69"/>
      <c r="OY69"/>
      <c r="OZ69"/>
      <c r="PA69"/>
      <c r="PB69" s="593"/>
      <c r="PC69" s="593"/>
      <c r="PD69" s="593"/>
      <c r="PE69" s="593"/>
      <c r="PF69" s="593"/>
      <c r="PG69" s="593"/>
      <c r="PH69" s="593"/>
      <c r="PI69" s="593"/>
      <c r="PJ69" s="593"/>
      <c r="PK69" s="593"/>
      <c r="PL69"/>
      <c r="PM69"/>
      <c r="PN69"/>
      <c r="PO69"/>
      <c r="PP69"/>
      <c r="PR69"/>
      <c r="PS69"/>
      <c r="PT69"/>
      <c r="PU69"/>
      <c r="PV69"/>
      <c r="PW69"/>
      <c r="PX69"/>
      <c r="PY69"/>
      <c r="PZ69"/>
      <c r="QA69"/>
      <c r="QB69"/>
      <c r="QC69"/>
      <c r="QD69"/>
      <c r="QE69"/>
      <c r="QF69"/>
      <c r="QG69"/>
      <c r="QH69"/>
      <c r="RY69" s="1"/>
      <c r="RZ69" s="1"/>
      <c r="SA69" s="1"/>
      <c r="SB69" s="1"/>
      <c r="SC69" s="1"/>
      <c r="SD69" s="1"/>
      <c r="SE69" s="1"/>
      <c r="SF69" s="1"/>
      <c r="SG69" s="1"/>
      <c r="SH69" s="1"/>
      <c r="SI69" s="1"/>
      <c r="SJ69" s="1"/>
      <c r="SK69" s="1"/>
      <c r="SL69" s="336">
        <f>ROW()</f>
        <v>69</v>
      </c>
      <c r="SM69" s="411" t="s">
        <v>1875</v>
      </c>
      <c r="SN69" s="338"/>
      <c r="SO69" s="341"/>
      <c r="SP69" s="341"/>
      <c r="SQ69" s="341"/>
      <c r="SR69" s="341"/>
      <c r="SS69" s="341"/>
      <c r="ST69" s="341"/>
      <c r="SU69" s="341"/>
      <c r="SV69" s="341"/>
      <c r="SW69" s="341"/>
      <c r="SX69" s="341"/>
      <c r="SY69" s="341"/>
      <c r="SZ69" s="341"/>
      <c r="TA69" s="341"/>
      <c r="TB69" s="581"/>
      <c r="TC69" s="581"/>
      <c r="TK69"/>
      <c r="TL69"/>
      <c r="TM69"/>
      <c r="TN69"/>
      <c r="TO69"/>
      <c r="TP69"/>
      <c r="TQ69"/>
      <c r="TR69"/>
      <c r="TS69"/>
      <c r="TT69"/>
      <c r="TU69"/>
      <c r="TV69"/>
      <c r="TW69"/>
    </row>
    <row r="70" spans="1:543" ht="15" thickBot="1" x14ac:dyDescent="0.4">
      <c r="A70" s="111">
        <f>ROW()</f>
        <v>70</v>
      </c>
      <c r="B70" s="232" t="s">
        <v>239</v>
      </c>
      <c r="C70" s="278">
        <f>FIT</f>
        <v>0.21</v>
      </c>
      <c r="D70" s="366">
        <f t="shared" ref="D70:R70" si="264">D69*$C$70</f>
        <v>0</v>
      </c>
      <c r="E70" s="366">
        <f t="shared" si="264"/>
        <v>8573745.9899481367</v>
      </c>
      <c r="F70" s="366">
        <f t="shared" si="264"/>
        <v>0</v>
      </c>
      <c r="G70" s="366">
        <f t="shared" si="264"/>
        <v>-11702591.169929225</v>
      </c>
      <c r="H70" s="366">
        <f t="shared" si="264"/>
        <v>0</v>
      </c>
      <c r="I70" s="366">
        <f t="shared" si="264"/>
        <v>40502.183253000003</v>
      </c>
      <c r="J70" s="366">
        <f t="shared" si="264"/>
        <v>0</v>
      </c>
      <c r="K70" s="366">
        <f t="shared" si="264"/>
        <v>-722608.47754200001</v>
      </c>
      <c r="L70" s="366">
        <f t="shared" si="264"/>
        <v>0</v>
      </c>
      <c r="M70" s="366">
        <f t="shared" si="264"/>
        <v>-97585.643840999997</v>
      </c>
      <c r="N70" s="366">
        <f t="shared" si="264"/>
        <v>0</v>
      </c>
      <c r="O70" s="366">
        <f t="shared" si="264"/>
        <v>0</v>
      </c>
      <c r="P70" s="366">
        <f t="shared" si="264"/>
        <v>0</v>
      </c>
      <c r="Q70" s="366">
        <f t="shared" si="264"/>
        <v>0</v>
      </c>
      <c r="R70" s="366">
        <f t="shared" si="264"/>
        <v>0</v>
      </c>
      <c r="S70" s="111">
        <f>ROW()</f>
        <v>70</v>
      </c>
      <c r="T70" s="241" t="s">
        <v>350</v>
      </c>
      <c r="U70" s="241"/>
      <c r="V70" s="583">
        <f>SUM(V68:V69)</f>
        <v>716603346.39031708</v>
      </c>
      <c r="W70" s="583">
        <f>SUM(W68:W69)</f>
        <v>-716603346.39031708</v>
      </c>
      <c r="X70" s="894"/>
      <c r="Y70" s="894"/>
      <c r="Z70" s="894"/>
      <c r="AA70" s="894"/>
      <c r="AB70" s="894"/>
      <c r="AC70" s="894"/>
      <c r="AD70" s="894"/>
      <c r="AE70" s="894"/>
      <c r="AF70" s="894"/>
      <c r="AG70" s="894"/>
      <c r="AH70" s="894"/>
      <c r="AI70" s="894"/>
      <c r="AJ70" s="894"/>
      <c r="AL70"/>
      <c r="AM70"/>
      <c r="AN70"/>
      <c r="AO70"/>
      <c r="AP70"/>
      <c r="AQ70"/>
      <c r="AR70"/>
      <c r="AS70"/>
      <c r="AT70"/>
      <c r="AU70"/>
      <c r="AV70"/>
      <c r="AW70"/>
      <c r="AX70"/>
      <c r="AY70"/>
      <c r="AZ70"/>
      <c r="BA70"/>
      <c r="BB70"/>
      <c r="BD70"/>
      <c r="BE70"/>
      <c r="BF70"/>
      <c r="BG70"/>
      <c r="BH70"/>
      <c r="BI70"/>
      <c r="BJ70"/>
      <c r="BK70"/>
      <c r="BL70"/>
      <c r="BM70"/>
      <c r="BN70"/>
      <c r="BO70"/>
      <c r="BP70"/>
      <c r="BQ70"/>
      <c r="BR70"/>
      <c r="BS70"/>
      <c r="BT70"/>
      <c r="BV70"/>
      <c r="BW70"/>
      <c r="BX70"/>
      <c r="BY70"/>
      <c r="BZ70"/>
      <c r="CA70"/>
      <c r="CB70"/>
      <c r="IS70"/>
      <c r="IT70"/>
      <c r="IU70"/>
      <c r="IV70"/>
      <c r="IW70"/>
      <c r="IX70"/>
      <c r="IY70"/>
      <c r="IZ70"/>
      <c r="JK70"/>
      <c r="JL70"/>
      <c r="JM70"/>
      <c r="JN70"/>
      <c r="JO70"/>
      <c r="JP70"/>
      <c r="JQ70"/>
      <c r="JR70"/>
      <c r="JS70"/>
      <c r="JT70"/>
      <c r="JU70"/>
      <c r="JV70"/>
      <c r="JW70"/>
      <c r="NP70" s="397"/>
      <c r="OC70" s="864"/>
      <c r="OD70" s="864"/>
      <c r="OE70" s="864"/>
      <c r="OF70" s="864"/>
      <c r="OW70"/>
      <c r="OX70"/>
      <c r="OY70"/>
      <c r="OZ70"/>
      <c r="PA70"/>
      <c r="PB70" s="593"/>
      <c r="PC70" s="593"/>
      <c r="PD70" s="593"/>
      <c r="PE70" s="593"/>
      <c r="PF70" s="593"/>
      <c r="PG70" s="593"/>
      <c r="PH70" s="593"/>
      <c r="PI70" s="593"/>
      <c r="PJ70" s="593"/>
      <c r="PK70" s="593"/>
      <c r="PL70"/>
      <c r="PM70"/>
      <c r="PN70"/>
      <c r="PO70"/>
      <c r="PP70"/>
      <c r="PR70"/>
      <c r="PS70"/>
      <c r="PT70"/>
      <c r="PU70"/>
      <c r="PV70"/>
      <c r="PW70"/>
      <c r="PX70"/>
      <c r="PY70"/>
      <c r="PZ70"/>
      <c r="QA70"/>
      <c r="QB70"/>
      <c r="QC70"/>
      <c r="QD70"/>
      <c r="QE70"/>
      <c r="QF70"/>
      <c r="QG70"/>
      <c r="QH70"/>
      <c r="RY70" s="1"/>
      <c r="RZ70" s="1"/>
      <c r="SA70" s="1"/>
      <c r="SB70" s="1"/>
      <c r="SC70" s="1"/>
      <c r="SD70" s="1"/>
      <c r="SE70" s="1"/>
      <c r="SF70" s="1"/>
      <c r="SG70" s="1"/>
      <c r="SH70" s="1"/>
      <c r="SI70" s="1"/>
      <c r="SJ70" s="1"/>
      <c r="SK70" s="1"/>
      <c r="SL70" s="336">
        <f>ROW()</f>
        <v>70</v>
      </c>
      <c r="SM70" s="329" t="s">
        <v>964</v>
      </c>
      <c r="SN70" s="338"/>
      <c r="SO70" s="361"/>
      <c r="SP70" s="361"/>
      <c r="SQ70" s="361"/>
      <c r="SR70" s="361">
        <v>113370.00999999998</v>
      </c>
      <c r="SS70" s="362">
        <f>SR70</f>
        <v>113370.00999999998</v>
      </c>
      <c r="ST70" s="362">
        <v>1087765.6900000002</v>
      </c>
      <c r="SU70" s="362">
        <f>ST70+SS70</f>
        <v>1201135.7000000002</v>
      </c>
      <c r="SV70" s="362">
        <v>1046767.73</v>
      </c>
      <c r="SW70" s="362">
        <f>SV70+SU70</f>
        <v>2247903.4300000002</v>
      </c>
      <c r="SX70" s="362">
        <v>881172.93000000017</v>
      </c>
      <c r="SY70" s="362">
        <f>SX70+SW70</f>
        <v>3129076.3600000003</v>
      </c>
      <c r="SZ70" s="362"/>
      <c r="TA70" s="362"/>
      <c r="TB70" s="576"/>
      <c r="TC70" s="576"/>
      <c r="TK70"/>
      <c r="TL70"/>
      <c r="TM70"/>
      <c r="TN70"/>
      <c r="TO70"/>
      <c r="TP70"/>
      <c r="TQ70"/>
      <c r="TR70"/>
      <c r="TS70"/>
      <c r="TT70"/>
      <c r="TU70"/>
      <c r="TV70"/>
      <c r="TW70"/>
    </row>
    <row r="71" spans="1:543" ht="15.5" thickTop="1" thickBot="1" x14ac:dyDescent="0.4">
      <c r="A71" s="111">
        <f>ROW()</f>
        <v>71</v>
      </c>
      <c r="B71" s="232" t="s">
        <v>224</v>
      </c>
      <c r="D71" s="583">
        <f>D69-D70</f>
        <v>0</v>
      </c>
      <c r="E71" s="583">
        <f>E69-E70</f>
        <v>32253615.866947755</v>
      </c>
      <c r="F71" s="583">
        <f>F69-F70</f>
        <v>0</v>
      </c>
      <c r="G71" s="583">
        <f t="shared" ref="G71:N71" si="265">G69-G70</f>
        <v>-44024033.448781371</v>
      </c>
      <c r="H71" s="583">
        <f t="shared" si="265"/>
        <v>0</v>
      </c>
      <c r="I71" s="583">
        <f t="shared" si="265"/>
        <v>152365.35604700001</v>
      </c>
      <c r="J71" s="583">
        <f t="shared" si="265"/>
        <v>0</v>
      </c>
      <c r="K71" s="583">
        <f t="shared" si="265"/>
        <v>-2718384.2726580002</v>
      </c>
      <c r="L71" s="583">
        <f t="shared" si="265"/>
        <v>0</v>
      </c>
      <c r="M71" s="583">
        <f t="shared" si="265"/>
        <v>-367107.89825900004</v>
      </c>
      <c r="N71" s="583">
        <f t="shared" si="265"/>
        <v>0</v>
      </c>
      <c r="O71" s="583">
        <f t="shared" ref="O71:R71" si="266">O69-O70</f>
        <v>0</v>
      </c>
      <c r="P71" s="583">
        <f t="shared" si="266"/>
        <v>0</v>
      </c>
      <c r="Q71" s="583">
        <f t="shared" si="266"/>
        <v>0</v>
      </c>
      <c r="R71" s="583">
        <f t="shared" si="266"/>
        <v>0</v>
      </c>
      <c r="S71" s="111">
        <f>ROW()</f>
        <v>71</v>
      </c>
      <c r="T71" s="241"/>
      <c r="U71" s="241"/>
      <c r="V71" s="1072">
        <f>V33-V70</f>
        <v>0</v>
      </c>
      <c r="W71" s="1072">
        <f>W33-W70</f>
        <v>0</v>
      </c>
      <c r="X71" s="895"/>
      <c r="Y71" s="895"/>
      <c r="Z71" s="895"/>
      <c r="AA71" s="895"/>
      <c r="AB71" s="895"/>
      <c r="AC71" s="895"/>
      <c r="AD71" s="895"/>
      <c r="AE71" s="895"/>
      <c r="AF71" s="895"/>
      <c r="AG71" s="895"/>
      <c r="AH71" s="895"/>
      <c r="AI71" s="895"/>
      <c r="AJ71" s="895"/>
      <c r="AL71"/>
      <c r="AM71"/>
      <c r="AN71"/>
      <c r="AO71"/>
      <c r="AP71"/>
      <c r="AQ71"/>
      <c r="AR71"/>
      <c r="AS71"/>
      <c r="AT71"/>
      <c r="AU71"/>
      <c r="AV71"/>
      <c r="AW71"/>
      <c r="AX71"/>
      <c r="AY71"/>
      <c r="AZ71"/>
      <c r="BA71"/>
      <c r="BB71"/>
      <c r="BD71"/>
      <c r="BE71"/>
      <c r="BF71"/>
      <c r="BG71"/>
      <c r="BH71"/>
      <c r="BI71"/>
      <c r="BJ71"/>
      <c r="BK71"/>
      <c r="BL71"/>
      <c r="BM71"/>
      <c r="BN71"/>
      <c r="BO71"/>
      <c r="BP71"/>
      <c r="BQ71"/>
      <c r="BR71"/>
      <c r="BS71"/>
      <c r="BT71"/>
      <c r="BV71"/>
      <c r="BW71"/>
      <c r="BX71"/>
      <c r="BY71"/>
      <c r="BZ71"/>
      <c r="CA71"/>
      <c r="CB71"/>
      <c r="IS71"/>
      <c r="IT71"/>
      <c r="IU71"/>
      <c r="IV71"/>
      <c r="IW71"/>
      <c r="IX71"/>
      <c r="IY71"/>
      <c r="IZ71"/>
      <c r="JK71"/>
      <c r="JL71"/>
      <c r="JM71"/>
      <c r="JN71"/>
      <c r="JO71"/>
      <c r="JP71"/>
      <c r="JQ71"/>
      <c r="JR71"/>
      <c r="JS71"/>
      <c r="JT71"/>
      <c r="JU71"/>
      <c r="JV71"/>
      <c r="JW71"/>
      <c r="NP71" s="397"/>
      <c r="OC71" s="989"/>
      <c r="OD71" s="989"/>
      <c r="OE71" s="989"/>
      <c r="OF71" s="989"/>
      <c r="OW71"/>
      <c r="OX71"/>
      <c r="OY71"/>
      <c r="OZ71"/>
      <c r="PA71"/>
      <c r="PB71" s="593"/>
      <c r="PC71" s="593"/>
      <c r="PD71" s="593"/>
      <c r="PE71" s="593"/>
      <c r="PF71" s="593"/>
      <c r="PG71" s="593"/>
      <c r="PH71" s="593"/>
      <c r="PI71" s="593"/>
      <c r="PJ71" s="593"/>
      <c r="PK71" s="593"/>
      <c r="PL71"/>
      <c r="PM71"/>
      <c r="PN71"/>
      <c r="PO71"/>
      <c r="PP71"/>
      <c r="PR71"/>
      <c r="PS71"/>
      <c r="PT71"/>
      <c r="PU71"/>
      <c r="PV71"/>
      <c r="PW71"/>
      <c r="PX71"/>
      <c r="PY71"/>
      <c r="PZ71"/>
      <c r="QA71"/>
      <c r="QB71"/>
      <c r="QC71"/>
      <c r="QD71"/>
      <c r="QE71"/>
      <c r="QF71"/>
      <c r="QG71"/>
      <c r="QH71"/>
      <c r="RY71" s="1"/>
      <c r="RZ71" s="1"/>
      <c r="SA71" s="1"/>
      <c r="SB71" s="1"/>
      <c r="SC71" s="1"/>
      <c r="SD71" s="1"/>
      <c r="SE71" s="1"/>
      <c r="SF71" s="1"/>
      <c r="SG71" s="1"/>
      <c r="SH71" s="1"/>
      <c r="SI71" s="1"/>
      <c r="SJ71" s="1"/>
      <c r="SK71" s="1"/>
      <c r="SL71" s="336">
        <f>ROW()</f>
        <v>71</v>
      </c>
      <c r="SM71" s="329" t="s">
        <v>963</v>
      </c>
      <c r="SN71" s="338"/>
      <c r="SO71" s="265"/>
      <c r="SP71" s="265"/>
      <c r="SQ71" s="265"/>
      <c r="SR71" s="265">
        <v>10627.835669999999</v>
      </c>
      <c r="SS71" s="356">
        <f>SR71</f>
        <v>10627.835669999999</v>
      </c>
      <c r="ST71" s="356">
        <v>244509.99067999996</v>
      </c>
      <c r="SU71" s="356">
        <f>ST71+SS71</f>
        <v>255137.82634999996</v>
      </c>
      <c r="SV71" s="356">
        <v>1185416.8986599997</v>
      </c>
      <c r="SW71" s="356">
        <f>SV71+SU71</f>
        <v>1440554.7250099997</v>
      </c>
      <c r="SX71" s="356">
        <v>1001332.5569500001</v>
      </c>
      <c r="SY71" s="356">
        <f>SX71+SW71</f>
        <v>2441887.2819599998</v>
      </c>
      <c r="SZ71" s="356"/>
      <c r="TA71" s="356"/>
      <c r="TB71" s="525"/>
      <c r="TC71" s="525"/>
      <c r="TK71"/>
      <c r="TL71"/>
      <c r="TM71"/>
      <c r="TN71"/>
      <c r="TO71"/>
      <c r="TP71"/>
      <c r="TQ71"/>
      <c r="TR71"/>
      <c r="TS71"/>
      <c r="TT71"/>
      <c r="TU71"/>
      <c r="TV71"/>
      <c r="TW71"/>
    </row>
    <row r="72" spans="1:543" ht="15" thickTop="1" x14ac:dyDescent="0.35">
      <c r="A72" s="111">
        <f>ROW()</f>
        <v>72</v>
      </c>
      <c r="S72" s="111">
        <f>ROW()</f>
        <v>72</v>
      </c>
      <c r="T72" s="241" t="s">
        <v>971</v>
      </c>
      <c r="U72" s="241"/>
      <c r="V72" s="245">
        <f>SUM(V45:V50,V55)</f>
        <v>581461939.38</v>
      </c>
      <c r="W72" s="245">
        <f>SUM(W45:W50,W55)</f>
        <v>-581461939.38</v>
      </c>
      <c r="X72" s="241"/>
      <c r="Y72" s="241"/>
      <c r="Z72" s="241"/>
      <c r="AA72" s="241"/>
      <c r="AB72" s="241"/>
      <c r="AC72" s="241"/>
      <c r="AD72" s="241"/>
      <c r="AE72" s="241"/>
      <c r="AF72" s="241"/>
      <c r="AG72" s="241"/>
      <c r="AH72" s="241"/>
      <c r="AI72" s="241"/>
      <c r="AJ72" s="241"/>
      <c r="AL72"/>
      <c r="AM72"/>
      <c r="AN72"/>
      <c r="AO72"/>
      <c r="AP72"/>
      <c r="AQ72"/>
      <c r="AR72"/>
      <c r="AS72"/>
      <c r="AT72"/>
      <c r="AU72"/>
      <c r="AV72"/>
      <c r="AW72"/>
      <c r="AX72"/>
      <c r="AY72"/>
      <c r="AZ72"/>
      <c r="BA72"/>
      <c r="BB72"/>
      <c r="BD72"/>
      <c r="BE72"/>
      <c r="BF72"/>
      <c r="BG72"/>
      <c r="BH72"/>
      <c r="BI72"/>
      <c r="BJ72"/>
      <c r="BK72"/>
      <c r="BL72"/>
      <c r="BM72"/>
      <c r="BN72"/>
      <c r="BO72"/>
      <c r="BP72"/>
      <c r="BQ72"/>
      <c r="BR72"/>
      <c r="BS72"/>
      <c r="BT72"/>
      <c r="BV72"/>
      <c r="BW72"/>
      <c r="BX72"/>
      <c r="BY72"/>
      <c r="BZ72"/>
      <c r="CA72"/>
      <c r="CB72"/>
      <c r="IS72"/>
      <c r="IT72"/>
      <c r="IU72"/>
      <c r="IV72"/>
      <c r="IW72"/>
      <c r="IX72"/>
      <c r="IY72"/>
      <c r="IZ72"/>
      <c r="JK72"/>
      <c r="JL72"/>
      <c r="JM72"/>
      <c r="JN72"/>
      <c r="JO72"/>
      <c r="JP72"/>
      <c r="JQ72"/>
      <c r="JR72"/>
      <c r="JS72"/>
      <c r="JT72"/>
      <c r="JU72"/>
      <c r="JV72"/>
      <c r="JW72"/>
      <c r="NP72" s="397"/>
      <c r="OW72"/>
      <c r="OX72"/>
      <c r="OY72"/>
      <c r="OZ72"/>
      <c r="PA72"/>
      <c r="PB72" s="593"/>
      <c r="PC72" s="593"/>
      <c r="PD72" s="593"/>
      <c r="PE72" s="593"/>
      <c r="PF72" s="593"/>
      <c r="PG72" s="593"/>
      <c r="PH72" s="593"/>
      <c r="PI72" s="593"/>
      <c r="PJ72" s="593"/>
      <c r="PK72" s="593"/>
      <c r="PL72"/>
      <c r="PM72"/>
      <c r="PN72"/>
      <c r="PO72"/>
      <c r="PP72"/>
      <c r="PR72"/>
      <c r="PS72"/>
      <c r="PT72"/>
      <c r="PU72"/>
      <c r="PV72"/>
      <c r="PW72"/>
      <c r="PX72"/>
      <c r="PY72"/>
      <c r="PZ72"/>
      <c r="QA72"/>
      <c r="QB72"/>
      <c r="QC72"/>
      <c r="QD72"/>
      <c r="QE72"/>
      <c r="QF72"/>
      <c r="QG72"/>
      <c r="QH72"/>
      <c r="RY72" s="1"/>
      <c r="RZ72" s="1"/>
      <c r="SA72" s="1"/>
      <c r="SB72" s="1"/>
      <c r="SC72" s="1"/>
      <c r="SD72" s="1"/>
      <c r="SE72" s="1"/>
      <c r="SF72" s="1"/>
      <c r="SG72" s="1"/>
      <c r="SH72" s="1"/>
      <c r="SI72" s="1"/>
      <c r="SJ72" s="1"/>
      <c r="SK72" s="1"/>
      <c r="SL72" s="336">
        <f>ROW()</f>
        <v>72</v>
      </c>
      <c r="SM72" s="329" t="s">
        <v>962</v>
      </c>
      <c r="SN72" s="338"/>
      <c r="SO72" s="265"/>
      <c r="SP72" s="265"/>
      <c r="SQ72" s="265"/>
      <c r="SR72" s="265">
        <v>64439.08</v>
      </c>
      <c r="SS72" s="356">
        <f>SR72</f>
        <v>64439.08</v>
      </c>
      <c r="ST72" s="356">
        <v>1244342.2899999998</v>
      </c>
      <c r="SU72" s="356">
        <f>ST72+SS72</f>
        <v>1308781.3699999999</v>
      </c>
      <c r="SV72" s="356">
        <v>2271649.9799999995</v>
      </c>
      <c r="SW72" s="356">
        <f>SV72+SU72</f>
        <v>3580431.3499999996</v>
      </c>
      <c r="SX72" s="356">
        <v>1575921.3100000005</v>
      </c>
      <c r="SY72" s="356">
        <f>SX72+SW72</f>
        <v>5156352.66</v>
      </c>
      <c r="SZ72" s="356"/>
      <c r="TA72" s="356"/>
      <c r="TB72" s="525"/>
      <c r="TC72" s="525"/>
      <c r="TK72"/>
      <c r="TL72"/>
      <c r="TM72"/>
      <c r="TN72"/>
      <c r="TO72"/>
      <c r="TP72"/>
      <c r="TQ72"/>
      <c r="TR72"/>
      <c r="TS72"/>
      <c r="TT72"/>
      <c r="TU72"/>
      <c r="TV72"/>
      <c r="TW72"/>
    </row>
    <row r="73" spans="1:543" x14ac:dyDescent="0.35">
      <c r="A73" s="111">
        <f>ROW()</f>
        <v>73</v>
      </c>
      <c r="B73" s="1" t="s">
        <v>1864</v>
      </c>
      <c r="S73" s="111">
        <f>ROW()</f>
        <v>73</v>
      </c>
      <c r="T73" s="241" t="s">
        <v>62</v>
      </c>
      <c r="U73" s="241"/>
      <c r="V73" s="118">
        <f>V36</f>
        <v>2072558.6235161237</v>
      </c>
      <c r="W73" s="118">
        <f>W36</f>
        <v>-2072558.6235161237</v>
      </c>
      <c r="X73" s="241"/>
      <c r="Y73" s="241"/>
      <c r="Z73" s="241"/>
      <c r="AA73" s="241"/>
      <c r="AB73" s="241"/>
      <c r="AC73" s="241"/>
      <c r="AD73" s="241"/>
      <c r="AE73" s="241"/>
      <c r="AF73" s="241"/>
      <c r="AG73" s="241"/>
      <c r="AH73" s="241"/>
      <c r="AI73" s="241"/>
      <c r="AJ73" s="241"/>
      <c r="AL73"/>
      <c r="AM73"/>
      <c r="AN73"/>
      <c r="AO73"/>
      <c r="AP73"/>
      <c r="AQ73"/>
      <c r="AR73"/>
      <c r="AS73"/>
      <c r="AT73"/>
      <c r="AU73"/>
      <c r="AV73"/>
      <c r="AW73"/>
      <c r="AX73"/>
      <c r="AY73"/>
      <c r="AZ73"/>
      <c r="BA73"/>
      <c r="BB73"/>
      <c r="BD73"/>
      <c r="BE73"/>
      <c r="BF73"/>
      <c r="BG73"/>
      <c r="BH73"/>
      <c r="BI73"/>
      <c r="BJ73"/>
      <c r="BK73"/>
      <c r="BL73"/>
      <c r="BM73"/>
      <c r="BN73"/>
      <c r="BO73"/>
      <c r="BP73"/>
      <c r="BQ73"/>
      <c r="BR73"/>
      <c r="BS73"/>
      <c r="BT73"/>
      <c r="BV73"/>
      <c r="BW73"/>
      <c r="BX73"/>
      <c r="BY73"/>
      <c r="BZ73"/>
      <c r="CA73"/>
      <c r="CB73"/>
      <c r="IS73"/>
      <c r="IT73"/>
      <c r="IU73"/>
      <c r="IV73"/>
      <c r="IW73"/>
      <c r="IX73"/>
      <c r="IY73"/>
      <c r="IZ73"/>
      <c r="JK73"/>
      <c r="JL73"/>
      <c r="JM73"/>
      <c r="JN73"/>
      <c r="JO73"/>
      <c r="JP73"/>
      <c r="JQ73"/>
      <c r="JR73"/>
      <c r="JS73"/>
      <c r="JT73"/>
      <c r="JU73"/>
      <c r="JV73"/>
      <c r="JW73"/>
      <c r="NP73" s="397"/>
      <c r="OW73"/>
      <c r="OX73"/>
      <c r="OY73"/>
      <c r="OZ73"/>
      <c r="PA73"/>
      <c r="PB73" s="593"/>
      <c r="PC73" s="593"/>
      <c r="PD73" s="593"/>
      <c r="PE73" s="593"/>
      <c r="PF73" s="593"/>
      <c r="PG73" s="593"/>
      <c r="PH73" s="593"/>
      <c r="PI73" s="593"/>
      <c r="PJ73" s="593"/>
      <c r="PK73" s="593"/>
      <c r="PL73"/>
      <c r="PM73"/>
      <c r="PN73"/>
      <c r="PO73"/>
      <c r="PP73"/>
      <c r="PR73"/>
      <c r="PS73"/>
      <c r="PT73"/>
      <c r="PU73"/>
      <c r="PV73"/>
      <c r="PW73"/>
      <c r="PX73"/>
      <c r="PY73"/>
      <c r="PZ73"/>
      <c r="QA73"/>
      <c r="QB73"/>
      <c r="QC73"/>
      <c r="QD73"/>
      <c r="QE73"/>
      <c r="QF73"/>
      <c r="QG73"/>
      <c r="QH73"/>
      <c r="RY73" s="1"/>
      <c r="RZ73" s="1"/>
      <c r="SA73" s="1"/>
      <c r="SB73" s="1"/>
      <c r="SC73" s="1"/>
      <c r="SD73" s="1"/>
      <c r="SE73" s="1"/>
      <c r="SF73" s="1"/>
      <c r="SG73" s="1"/>
      <c r="SH73" s="1"/>
      <c r="SI73" s="1"/>
      <c r="SJ73" s="1"/>
      <c r="SK73" s="1"/>
      <c r="SL73" s="336">
        <f>ROW()</f>
        <v>73</v>
      </c>
      <c r="SM73" s="329" t="s">
        <v>961</v>
      </c>
      <c r="SN73" s="338"/>
      <c r="SO73" s="368"/>
      <c r="SP73" s="368"/>
      <c r="SQ73" s="368"/>
      <c r="SR73" s="368">
        <v>192073.8841</v>
      </c>
      <c r="SS73" s="355">
        <f>SR73</f>
        <v>192073.8841</v>
      </c>
      <c r="ST73" s="355">
        <v>3522674.4220850002</v>
      </c>
      <c r="SU73" s="355">
        <f>ST73+SS73</f>
        <v>3714748.3061850001</v>
      </c>
      <c r="SV73" s="355">
        <v>4675711.5133500006</v>
      </c>
      <c r="SW73" s="355">
        <f>SV73+SU73</f>
        <v>8390459.8195350002</v>
      </c>
      <c r="SX73" s="355">
        <v>4887204.4564349987</v>
      </c>
      <c r="SY73" s="355">
        <f>SX73+SW73</f>
        <v>13277664.275969999</v>
      </c>
      <c r="SZ73" s="355"/>
      <c r="TA73" s="355"/>
      <c r="TB73" s="575"/>
      <c r="TC73" s="575"/>
      <c r="TK73"/>
      <c r="TL73"/>
      <c r="TM73"/>
      <c r="TN73"/>
      <c r="TO73"/>
      <c r="TP73"/>
      <c r="TQ73"/>
      <c r="TR73"/>
      <c r="TS73"/>
      <c r="TT73"/>
      <c r="TU73"/>
      <c r="TV73"/>
      <c r="TW73"/>
    </row>
    <row r="74" spans="1:543" x14ac:dyDescent="0.35">
      <c r="A74" s="111">
        <f>ROW()</f>
        <v>74</v>
      </c>
      <c r="B74" s="1" t="s">
        <v>1865</v>
      </c>
      <c r="S74" s="111">
        <f>ROW()</f>
        <v>74</v>
      </c>
      <c r="T74" s="241" t="s">
        <v>63</v>
      </c>
      <c r="U74" s="241"/>
      <c r="V74" s="118">
        <f>SUM(V42,V57,V52,V51,V56)</f>
        <v>2874088.03</v>
      </c>
      <c r="W74" s="118">
        <f>SUM(W42,W57,W52,W51,W56)</f>
        <v>-2874088.03</v>
      </c>
      <c r="X74" s="241"/>
      <c r="Y74" s="241"/>
      <c r="Z74" s="241"/>
      <c r="AA74" s="241"/>
      <c r="AB74" s="241"/>
      <c r="AC74" s="241"/>
      <c r="AD74" s="241"/>
      <c r="AE74" s="241"/>
      <c r="AF74" s="241"/>
      <c r="AG74" s="241"/>
      <c r="AH74" s="241"/>
      <c r="AI74" s="241"/>
      <c r="AJ74" s="241"/>
      <c r="AL74"/>
      <c r="AM74"/>
      <c r="AN74"/>
      <c r="AO74"/>
      <c r="AP74"/>
      <c r="AQ74"/>
      <c r="AR74"/>
      <c r="AS74"/>
      <c r="AT74"/>
      <c r="AU74"/>
      <c r="AV74"/>
      <c r="AW74"/>
      <c r="AX74"/>
      <c r="AY74"/>
      <c r="AZ74"/>
      <c r="BA74"/>
      <c r="BB74"/>
      <c r="BD74"/>
      <c r="BE74"/>
      <c r="BF74"/>
      <c r="BG74"/>
      <c r="BH74"/>
      <c r="BI74"/>
      <c r="BJ74"/>
      <c r="BK74"/>
      <c r="BL74"/>
      <c r="BM74"/>
      <c r="BN74"/>
      <c r="BO74"/>
      <c r="BP74"/>
      <c r="BQ74"/>
      <c r="BR74"/>
      <c r="BS74"/>
      <c r="BT74"/>
      <c r="BV74"/>
      <c r="BW74"/>
      <c r="BX74"/>
      <c r="BY74"/>
      <c r="BZ74"/>
      <c r="CA74"/>
      <c r="CB74"/>
      <c r="IS74"/>
      <c r="IT74"/>
      <c r="IU74"/>
      <c r="IV74"/>
      <c r="IW74"/>
      <c r="IX74"/>
      <c r="IY74"/>
      <c r="IZ74"/>
      <c r="JK74"/>
      <c r="JL74"/>
      <c r="JM74"/>
      <c r="JN74"/>
      <c r="JO74"/>
      <c r="JP74"/>
      <c r="JQ74"/>
      <c r="JR74"/>
      <c r="JS74"/>
      <c r="JT74"/>
      <c r="JU74"/>
      <c r="JV74"/>
      <c r="JW74"/>
      <c r="NP74" s="397"/>
      <c r="OW74"/>
      <c r="OX74"/>
      <c r="OY74"/>
      <c r="OZ74"/>
      <c r="PA74"/>
      <c r="PB74" s="593"/>
      <c r="PC74" s="593"/>
      <c r="PD74" s="593"/>
      <c r="PE74" s="593"/>
      <c r="PF74" s="593"/>
      <c r="PG74" s="593"/>
      <c r="PH74" s="593"/>
      <c r="PI74" s="593"/>
      <c r="PJ74" s="593"/>
      <c r="PK74" s="593"/>
      <c r="PL74"/>
      <c r="PM74"/>
      <c r="PN74"/>
      <c r="PO74"/>
      <c r="PP74"/>
      <c r="PR74"/>
      <c r="PS74"/>
      <c r="PT74"/>
      <c r="PU74"/>
      <c r="PV74"/>
      <c r="PW74"/>
      <c r="PX74"/>
      <c r="PY74"/>
      <c r="PZ74"/>
      <c r="QA74"/>
      <c r="QB74"/>
      <c r="QC74"/>
      <c r="QD74"/>
      <c r="QE74"/>
      <c r="QF74"/>
      <c r="QG74"/>
      <c r="QH74"/>
      <c r="RY74" s="1"/>
      <c r="RZ74" s="1"/>
      <c r="SA74" s="1"/>
      <c r="SB74" s="1"/>
      <c r="SC74" s="1"/>
      <c r="SD74" s="1"/>
      <c r="SE74" s="1"/>
      <c r="SF74" s="1"/>
      <c r="SG74" s="1"/>
      <c r="SH74" s="1"/>
      <c r="SI74" s="1"/>
      <c r="SJ74" s="1"/>
      <c r="SK74" s="1"/>
      <c r="SL74" s="336">
        <f>ROW()</f>
        <v>74</v>
      </c>
      <c r="SM74" s="329" t="s">
        <v>871</v>
      </c>
      <c r="SN74" s="338"/>
      <c r="SO74" s="356"/>
      <c r="SP74" s="356"/>
      <c r="SQ74" s="356"/>
      <c r="SR74" s="356">
        <f t="shared" ref="SR74:SY74" si="267">SUM(SR70:SR73)</f>
        <v>380510.80976999993</v>
      </c>
      <c r="SS74" s="356">
        <f t="shared" si="267"/>
        <v>380510.80976999993</v>
      </c>
      <c r="ST74" s="356">
        <f t="shared" si="267"/>
        <v>6099292.3927650005</v>
      </c>
      <c r="SU74" s="356">
        <f t="shared" si="267"/>
        <v>6479803.2025349997</v>
      </c>
      <c r="SV74" s="356">
        <f t="shared" si="267"/>
        <v>9179546.1220100001</v>
      </c>
      <c r="SW74" s="356">
        <f t="shared" si="267"/>
        <v>15659349.324545</v>
      </c>
      <c r="SX74" s="356">
        <f t="shared" si="267"/>
        <v>8345631.2533849999</v>
      </c>
      <c r="SY74" s="356">
        <f t="shared" si="267"/>
        <v>24004980.57793</v>
      </c>
      <c r="SZ74" s="356"/>
      <c r="TA74" s="356"/>
      <c r="TB74" s="525"/>
      <c r="TC74" s="525"/>
      <c r="TK74"/>
      <c r="TL74"/>
      <c r="TM74"/>
      <c r="TN74"/>
      <c r="TO74"/>
      <c r="TP74"/>
      <c r="TQ74"/>
      <c r="TR74"/>
      <c r="TS74"/>
      <c r="TT74"/>
      <c r="TU74"/>
      <c r="TV74"/>
      <c r="TW74"/>
    </row>
    <row r="75" spans="1:543" x14ac:dyDescent="0.35">
      <c r="A75" s="111">
        <f>ROW()</f>
        <v>75</v>
      </c>
      <c r="B75" s="1" t="s">
        <v>1866</v>
      </c>
      <c r="C75" s="224"/>
      <c r="D75" s="224"/>
      <c r="E75" s="224"/>
      <c r="F75" s="224"/>
      <c r="G75" s="224"/>
      <c r="H75" s="224"/>
      <c r="I75" s="224"/>
      <c r="J75" s="224"/>
      <c r="K75" s="224"/>
      <c r="L75" s="224"/>
      <c r="M75" s="224"/>
      <c r="N75" s="224"/>
      <c r="O75" s="224"/>
      <c r="P75" s="224"/>
      <c r="Q75" s="224"/>
      <c r="R75" s="224"/>
      <c r="S75" s="111">
        <f>ROW()</f>
        <v>75</v>
      </c>
      <c r="T75" s="241" t="s">
        <v>64</v>
      </c>
      <c r="U75" s="241"/>
      <c r="V75" s="118">
        <f>V43</f>
        <v>22395680.359999999</v>
      </c>
      <c r="W75" s="118">
        <f>W43</f>
        <v>-22395680.359999999</v>
      </c>
      <c r="X75" s="241"/>
      <c r="Y75" s="241"/>
      <c r="Z75" s="241"/>
      <c r="AA75" s="241"/>
      <c r="AB75" s="241"/>
      <c r="AC75" s="241"/>
      <c r="AD75" s="241"/>
      <c r="AE75" s="241"/>
      <c r="AF75" s="241"/>
      <c r="AG75" s="241"/>
      <c r="AH75" s="241"/>
      <c r="AI75" s="241"/>
      <c r="AJ75" s="241"/>
      <c r="AL75"/>
      <c r="AM75"/>
      <c r="AN75"/>
      <c r="AO75"/>
      <c r="AP75"/>
      <c r="AQ75"/>
      <c r="AR75"/>
      <c r="AS75"/>
      <c r="AT75"/>
      <c r="AU75"/>
      <c r="AV75"/>
      <c r="AW75"/>
      <c r="AX75"/>
      <c r="AY75"/>
      <c r="AZ75"/>
      <c r="BA75"/>
      <c r="BB75"/>
      <c r="BD75"/>
      <c r="BE75"/>
      <c r="BF75"/>
      <c r="BG75"/>
      <c r="BH75"/>
      <c r="BI75"/>
      <c r="BJ75"/>
      <c r="BK75"/>
      <c r="BL75"/>
      <c r="BM75"/>
      <c r="BN75"/>
      <c r="BO75"/>
      <c r="BP75"/>
      <c r="BQ75"/>
      <c r="BR75"/>
      <c r="BS75"/>
      <c r="BT75"/>
      <c r="BV75"/>
      <c r="BW75"/>
      <c r="BX75"/>
      <c r="BY75"/>
      <c r="BZ75"/>
      <c r="CA75"/>
      <c r="CB75"/>
      <c r="IS75"/>
      <c r="IT75"/>
      <c r="IU75"/>
      <c r="IV75"/>
      <c r="IW75"/>
      <c r="IX75"/>
      <c r="IY75"/>
      <c r="IZ75"/>
      <c r="JK75"/>
      <c r="JL75"/>
      <c r="JM75"/>
      <c r="JN75"/>
      <c r="JO75"/>
      <c r="JP75"/>
      <c r="JQ75"/>
      <c r="JR75"/>
      <c r="JS75"/>
      <c r="JT75"/>
      <c r="JU75"/>
      <c r="JV75"/>
      <c r="JW75"/>
      <c r="NP75" s="397"/>
      <c r="OW75"/>
      <c r="OX75"/>
      <c r="OY75"/>
      <c r="OZ75"/>
      <c r="PA75"/>
      <c r="PB75" s="593"/>
      <c r="PC75" s="593"/>
      <c r="PD75" s="593"/>
      <c r="PE75" s="593"/>
      <c r="PF75" s="593"/>
      <c r="PG75" s="593"/>
      <c r="PH75" s="593"/>
      <c r="PI75" s="593"/>
      <c r="PJ75" s="593"/>
      <c r="PK75" s="593"/>
      <c r="PL75"/>
      <c r="PM75"/>
      <c r="PN75"/>
      <c r="PO75"/>
      <c r="PP75"/>
      <c r="PR75"/>
      <c r="PS75"/>
      <c r="PT75"/>
      <c r="PU75"/>
      <c r="PV75"/>
      <c r="PW75"/>
      <c r="PX75"/>
      <c r="PY75"/>
      <c r="PZ75"/>
      <c r="QA75"/>
      <c r="QB75"/>
      <c r="QC75"/>
      <c r="QD75"/>
      <c r="QE75"/>
      <c r="QF75"/>
      <c r="QG75"/>
      <c r="QH75"/>
      <c r="RY75" s="1"/>
      <c r="RZ75" s="1"/>
      <c r="SA75" s="1"/>
      <c r="SB75" s="1"/>
      <c r="SC75" s="1"/>
      <c r="SD75" s="1"/>
      <c r="SE75" s="1"/>
      <c r="SF75" s="1"/>
      <c r="SG75" s="1"/>
      <c r="SH75" s="1"/>
      <c r="SI75" s="1"/>
      <c r="SJ75" s="1"/>
      <c r="SK75" s="1"/>
      <c r="SL75" s="336">
        <f>ROW()</f>
        <v>75</v>
      </c>
      <c r="SM75" s="329"/>
      <c r="SN75" s="338"/>
      <c r="SO75" s="356"/>
      <c r="SP75" s="356"/>
      <c r="SQ75" s="356"/>
      <c r="SR75" s="356"/>
      <c r="SS75" s="356"/>
      <c r="ST75" s="356"/>
      <c r="SU75" s="356"/>
      <c r="SV75" s="356"/>
      <c r="SW75" s="356"/>
      <c r="SX75" s="356"/>
      <c r="SY75" s="356"/>
      <c r="SZ75" s="356"/>
      <c r="TA75" s="356"/>
      <c r="TB75" s="582"/>
      <c r="TC75" s="582"/>
      <c r="TK75"/>
      <c r="TL75"/>
      <c r="TM75"/>
      <c r="TN75"/>
      <c r="TO75"/>
      <c r="TP75"/>
      <c r="TQ75"/>
      <c r="TR75"/>
      <c r="TS75"/>
      <c r="TT75"/>
      <c r="TU75"/>
      <c r="TV75"/>
      <c r="TW75"/>
    </row>
    <row r="76" spans="1:543" x14ac:dyDescent="0.35">
      <c r="S76" s="111">
        <f>ROW()</f>
        <v>76</v>
      </c>
      <c r="T76" s="241" t="s">
        <v>65</v>
      </c>
      <c r="U76" s="241"/>
      <c r="V76" s="118">
        <f>SUM(V37,V54,V59)</f>
        <v>2892962.261060012</v>
      </c>
      <c r="W76" s="118">
        <f>SUM(W37,W54,W59)</f>
        <v>-2892962.261060012</v>
      </c>
      <c r="X76" s="241"/>
      <c r="Y76" s="241"/>
      <c r="Z76" s="241"/>
      <c r="AA76" s="241"/>
      <c r="AB76" s="241"/>
      <c r="AC76" s="241"/>
      <c r="AD76" s="241"/>
      <c r="AE76" s="241"/>
      <c r="AF76" s="241"/>
      <c r="AG76" s="241"/>
      <c r="AH76" s="241"/>
      <c r="AI76" s="241"/>
      <c r="AJ76" s="241"/>
      <c r="AL76"/>
      <c r="AM76"/>
      <c r="AN76"/>
      <c r="AO76"/>
      <c r="AP76"/>
      <c r="AQ76"/>
      <c r="AR76"/>
      <c r="AS76"/>
      <c r="AT76"/>
      <c r="AU76"/>
      <c r="AV76"/>
      <c r="AW76"/>
      <c r="AX76"/>
      <c r="AY76"/>
      <c r="AZ76"/>
      <c r="BA76"/>
      <c r="BB76"/>
      <c r="BD76"/>
      <c r="BE76"/>
      <c r="BF76"/>
      <c r="BG76"/>
      <c r="BH76"/>
      <c r="BI76"/>
      <c r="BJ76"/>
      <c r="BK76"/>
      <c r="BL76"/>
      <c r="BM76"/>
      <c r="BN76"/>
      <c r="BO76"/>
      <c r="BP76"/>
      <c r="BQ76"/>
      <c r="BR76"/>
      <c r="BS76"/>
      <c r="BT76"/>
      <c r="BV76"/>
      <c r="BW76"/>
      <c r="BX76"/>
      <c r="BY76"/>
      <c r="BZ76"/>
      <c r="CA76"/>
      <c r="CB76"/>
      <c r="IS76"/>
      <c r="IT76"/>
      <c r="IU76"/>
      <c r="IV76"/>
      <c r="IW76"/>
      <c r="IX76"/>
      <c r="IY76"/>
      <c r="IZ76"/>
      <c r="JK76"/>
      <c r="JL76"/>
      <c r="JM76"/>
      <c r="JN76"/>
      <c r="JO76"/>
      <c r="JP76"/>
      <c r="JQ76"/>
      <c r="JR76"/>
      <c r="JS76"/>
      <c r="JT76"/>
      <c r="JU76"/>
      <c r="JV76"/>
      <c r="JW76"/>
      <c r="NP76" s="397"/>
      <c r="OW76"/>
      <c r="OX76"/>
      <c r="OY76"/>
      <c r="OZ76"/>
      <c r="PA76"/>
      <c r="PB76" s="593"/>
      <c r="PC76" s="593"/>
      <c r="PD76" s="593"/>
      <c r="PE76" s="593"/>
      <c r="PF76" s="593"/>
      <c r="PG76" s="593"/>
      <c r="PH76" s="593"/>
      <c r="PI76" s="593"/>
      <c r="PJ76" s="593"/>
      <c r="PK76" s="593"/>
      <c r="PL76"/>
      <c r="PM76"/>
      <c r="PN76"/>
      <c r="PO76"/>
      <c r="PP76"/>
      <c r="PR76"/>
      <c r="PS76"/>
      <c r="PT76"/>
      <c r="PU76"/>
      <c r="PV76"/>
      <c r="PW76"/>
      <c r="PX76"/>
      <c r="PY76"/>
      <c r="PZ76"/>
      <c r="QA76"/>
      <c r="QB76"/>
      <c r="QC76"/>
      <c r="QD76"/>
      <c r="QE76"/>
      <c r="QF76"/>
      <c r="QG76"/>
      <c r="QH76"/>
      <c r="RY76" s="1"/>
      <c r="RZ76" s="1"/>
      <c r="SA76" s="1"/>
      <c r="SB76" s="1"/>
      <c r="SC76" s="1"/>
      <c r="SD76" s="1"/>
      <c r="SE76" s="1"/>
      <c r="SF76" s="1"/>
      <c r="SG76" s="1"/>
      <c r="SH76" s="1"/>
      <c r="SI76" s="1"/>
      <c r="SJ76" s="1"/>
      <c r="SK76" s="1"/>
      <c r="SL76" s="336">
        <f>ROW()</f>
        <v>76</v>
      </c>
      <c r="SM76" s="329" t="s">
        <v>274</v>
      </c>
      <c r="SN76" s="338"/>
      <c r="SO76" s="356"/>
      <c r="SP76" s="356"/>
      <c r="SQ76" s="356"/>
      <c r="SR76" s="356">
        <f t="shared" ref="SR76:SY76" si="268">SR74</f>
        <v>380510.80976999993</v>
      </c>
      <c r="SS76" s="356">
        <f t="shared" si="268"/>
        <v>380510.80976999993</v>
      </c>
      <c r="ST76" s="356">
        <f t="shared" si="268"/>
        <v>6099292.3927650005</v>
      </c>
      <c r="SU76" s="356">
        <f t="shared" si="268"/>
        <v>6479803.2025349997</v>
      </c>
      <c r="SV76" s="356">
        <f t="shared" si="268"/>
        <v>9179546.1220100001</v>
      </c>
      <c r="SW76" s="356">
        <f t="shared" si="268"/>
        <v>15659349.324545</v>
      </c>
      <c r="SX76" s="356">
        <f t="shared" si="268"/>
        <v>8345631.2533849999</v>
      </c>
      <c r="SY76" s="356">
        <f t="shared" si="268"/>
        <v>24004980.57793</v>
      </c>
      <c r="SZ76" s="356"/>
      <c r="TA76" s="356"/>
      <c r="TB76" s="525"/>
      <c r="TC76" s="525"/>
      <c r="TK76"/>
      <c r="TL76"/>
      <c r="TM76"/>
      <c r="TN76"/>
      <c r="TO76"/>
      <c r="TP76"/>
      <c r="TQ76"/>
      <c r="TR76"/>
      <c r="TS76"/>
      <c r="TT76"/>
      <c r="TU76"/>
      <c r="TV76"/>
      <c r="TW76"/>
    </row>
    <row r="77" spans="1:543" x14ac:dyDescent="0.35">
      <c r="S77" s="111">
        <f>ROW()</f>
        <v>77</v>
      </c>
      <c r="T77" s="241" t="s">
        <v>70</v>
      </c>
      <c r="U77" s="241"/>
      <c r="V77" s="118">
        <f>SUM(V38,V44,V53,V58,V60)</f>
        <v>107544614.3024285</v>
      </c>
      <c r="W77" s="118">
        <f>SUM(W38,W44,W53,W58,W60)</f>
        <v>-107544614.3024285</v>
      </c>
      <c r="X77" s="241"/>
      <c r="Y77" s="241"/>
      <c r="Z77" s="241"/>
      <c r="AA77" s="241"/>
      <c r="AB77" s="241"/>
      <c r="AC77" s="241"/>
      <c r="AD77" s="241"/>
      <c r="AE77" s="241"/>
      <c r="AF77" s="241"/>
      <c r="AG77" s="241"/>
      <c r="AH77" s="241"/>
      <c r="AI77" s="241"/>
      <c r="AJ77" s="241"/>
      <c r="AL77"/>
      <c r="AM77"/>
      <c r="AN77"/>
      <c r="AO77"/>
      <c r="AP77"/>
      <c r="AQ77"/>
      <c r="AR77"/>
      <c r="AS77"/>
      <c r="AT77"/>
      <c r="AU77"/>
      <c r="AV77"/>
      <c r="AW77"/>
      <c r="AX77"/>
      <c r="AY77"/>
      <c r="AZ77"/>
      <c r="BA77"/>
      <c r="BB77"/>
      <c r="BD77"/>
      <c r="BE77"/>
      <c r="BF77"/>
      <c r="BG77"/>
      <c r="BH77"/>
      <c r="BI77"/>
      <c r="BJ77"/>
      <c r="BK77"/>
      <c r="BL77"/>
      <c r="BM77"/>
      <c r="BN77"/>
      <c r="BO77"/>
      <c r="BP77"/>
      <c r="BQ77"/>
      <c r="BR77"/>
      <c r="BS77"/>
      <c r="BT77"/>
      <c r="BV77"/>
      <c r="BW77"/>
      <c r="BX77"/>
      <c r="BY77"/>
      <c r="BZ77"/>
      <c r="CA77"/>
      <c r="CB77"/>
      <c r="IS77"/>
      <c r="IT77"/>
      <c r="IU77"/>
      <c r="IV77"/>
      <c r="IW77"/>
      <c r="IX77"/>
      <c r="IY77"/>
      <c r="IZ77"/>
      <c r="JK77"/>
      <c r="JL77"/>
      <c r="JM77"/>
      <c r="JN77"/>
      <c r="JO77"/>
      <c r="JP77"/>
      <c r="JQ77"/>
      <c r="JR77"/>
      <c r="JS77"/>
      <c r="JT77"/>
      <c r="JU77"/>
      <c r="JV77"/>
      <c r="JW77"/>
      <c r="NP77" s="397"/>
      <c r="OW77"/>
      <c r="OX77"/>
      <c r="OY77"/>
      <c r="OZ77"/>
      <c r="PA77"/>
      <c r="PB77" s="593"/>
      <c r="PC77" s="593"/>
      <c r="PD77" s="593"/>
      <c r="PE77" s="593"/>
      <c r="PF77" s="593"/>
      <c r="PG77" s="593"/>
      <c r="PH77" s="593"/>
      <c r="PI77" s="593"/>
      <c r="PJ77" s="593"/>
      <c r="PK77" s="593"/>
      <c r="PL77"/>
      <c r="PM77"/>
      <c r="PN77"/>
      <c r="PO77"/>
      <c r="PP77"/>
      <c r="PR77"/>
      <c r="PS77"/>
      <c r="PT77"/>
      <c r="PU77"/>
      <c r="PV77"/>
      <c r="PW77"/>
      <c r="PX77"/>
      <c r="PY77"/>
      <c r="PZ77"/>
      <c r="QA77"/>
      <c r="QB77"/>
      <c r="QC77"/>
      <c r="QD77"/>
      <c r="QE77"/>
      <c r="QF77"/>
      <c r="QG77"/>
      <c r="QH77"/>
      <c r="RY77" s="1"/>
      <c r="RZ77" s="1"/>
      <c r="SA77" s="1"/>
      <c r="SB77" s="1"/>
      <c r="SC77" s="1"/>
      <c r="SD77" s="1"/>
      <c r="SE77" s="1"/>
      <c r="SF77" s="1"/>
      <c r="SG77" s="1"/>
      <c r="SH77" s="1"/>
      <c r="SI77" s="1"/>
      <c r="SJ77" s="1"/>
      <c r="SK77" s="1"/>
      <c r="SL77" s="336">
        <f>ROW()</f>
        <v>77</v>
      </c>
      <c r="SM77" s="329"/>
      <c r="SN77" s="338"/>
      <c r="SO77" s="337"/>
      <c r="SP77" s="337"/>
      <c r="SQ77" s="337"/>
      <c r="SR77" s="337"/>
      <c r="SS77" s="337"/>
      <c r="ST77" s="337"/>
      <c r="SU77" s="337"/>
      <c r="SV77" s="337"/>
      <c r="SW77" s="337"/>
      <c r="SX77" s="337"/>
      <c r="SY77" s="337"/>
      <c r="SZ77" s="337"/>
      <c r="TA77" s="337"/>
      <c r="TB77" s="580"/>
      <c r="TC77" s="580"/>
      <c r="TK77"/>
      <c r="TL77"/>
      <c r="TM77"/>
      <c r="TN77"/>
      <c r="TO77"/>
      <c r="TP77"/>
      <c r="TQ77"/>
      <c r="TR77"/>
      <c r="TS77"/>
      <c r="TT77"/>
      <c r="TU77"/>
      <c r="TV77"/>
      <c r="TW77"/>
    </row>
    <row r="78" spans="1:543" x14ac:dyDescent="0.35">
      <c r="S78" s="111">
        <f>ROW()</f>
        <v>78</v>
      </c>
      <c r="T78" s="241" t="s">
        <v>71</v>
      </c>
      <c r="U78" s="241"/>
      <c r="V78" s="118">
        <f>V64</f>
        <v>-554084.2790043425</v>
      </c>
      <c r="W78" s="118">
        <f>W64</f>
        <v>554084.2790043425</v>
      </c>
      <c r="X78" s="241"/>
      <c r="Y78" s="241"/>
      <c r="Z78" s="241"/>
      <c r="AA78" s="241"/>
      <c r="AB78" s="241"/>
      <c r="AC78" s="241"/>
      <c r="AD78" s="241"/>
      <c r="AE78" s="241"/>
      <c r="AF78" s="241"/>
      <c r="AG78" s="241"/>
      <c r="AH78" s="241"/>
      <c r="AI78" s="241"/>
      <c r="AJ78" s="241"/>
      <c r="AL78"/>
      <c r="AM78"/>
      <c r="AN78"/>
      <c r="AO78"/>
      <c r="AP78"/>
      <c r="AQ78"/>
      <c r="AR78"/>
      <c r="AS78"/>
      <c r="AT78"/>
      <c r="AU78"/>
      <c r="AV78"/>
      <c r="AW78"/>
      <c r="AX78"/>
      <c r="AY78"/>
      <c r="AZ78"/>
      <c r="BA78"/>
      <c r="BB78"/>
      <c r="BD78"/>
      <c r="BE78"/>
      <c r="BF78"/>
      <c r="BG78"/>
      <c r="BH78"/>
      <c r="BI78"/>
      <c r="BJ78"/>
      <c r="BK78"/>
      <c r="BL78"/>
      <c r="BM78"/>
      <c r="BN78"/>
      <c r="BO78"/>
      <c r="BP78"/>
      <c r="BQ78"/>
      <c r="BR78"/>
      <c r="BS78"/>
      <c r="BT78"/>
      <c r="BV78"/>
      <c r="BW78"/>
      <c r="BX78"/>
      <c r="BY78"/>
      <c r="BZ78"/>
      <c r="CA78"/>
      <c r="CB78"/>
      <c r="IS78"/>
      <c r="IT78"/>
      <c r="IU78"/>
      <c r="IV78"/>
      <c r="IW78"/>
      <c r="IX78"/>
      <c r="IY78"/>
      <c r="IZ78"/>
      <c r="JK78"/>
      <c r="JL78"/>
      <c r="JM78"/>
      <c r="JN78"/>
      <c r="JO78"/>
      <c r="JP78"/>
      <c r="JQ78"/>
      <c r="JR78"/>
      <c r="JS78"/>
      <c r="JT78"/>
      <c r="JU78"/>
      <c r="JV78"/>
      <c r="JW78"/>
      <c r="NP78" s="397"/>
      <c r="OW78"/>
      <c r="OX78"/>
      <c r="OY78"/>
      <c r="OZ78"/>
      <c r="PA78"/>
      <c r="PB78" s="593"/>
      <c r="PC78" s="593"/>
      <c r="PD78" s="593"/>
      <c r="PE78" s="593"/>
      <c r="PF78" s="593"/>
      <c r="PG78" s="593"/>
      <c r="PH78" s="593"/>
      <c r="PI78" s="593"/>
      <c r="PJ78" s="593"/>
      <c r="PK78" s="593"/>
      <c r="PL78"/>
      <c r="PM78"/>
      <c r="PN78"/>
      <c r="PO78"/>
      <c r="PP78"/>
      <c r="PR78"/>
      <c r="PS78"/>
      <c r="PT78"/>
      <c r="PU78"/>
      <c r="PV78"/>
      <c r="PW78"/>
      <c r="PX78"/>
      <c r="PY78"/>
      <c r="PZ78"/>
      <c r="QA78"/>
      <c r="QB78"/>
      <c r="QC78"/>
      <c r="QD78"/>
      <c r="QE78"/>
      <c r="QF78"/>
      <c r="QG78"/>
      <c r="QH78"/>
      <c r="RY78" s="1"/>
      <c r="RZ78" s="1"/>
      <c r="SA78" s="1"/>
      <c r="SB78" s="1"/>
      <c r="SC78" s="1"/>
      <c r="SD78" s="1"/>
      <c r="SE78" s="1"/>
      <c r="SF78" s="1"/>
      <c r="SG78" s="1"/>
      <c r="SH78" s="1"/>
      <c r="SI78" s="1"/>
      <c r="SJ78" s="1"/>
      <c r="SK78" s="1"/>
      <c r="SL78" s="336">
        <f>ROW()</f>
        <v>78</v>
      </c>
      <c r="SM78" s="329" t="s">
        <v>230</v>
      </c>
      <c r="SN78" s="338">
        <v>0.21</v>
      </c>
      <c r="SO78" s="355"/>
      <c r="SP78" s="355"/>
      <c r="SQ78" s="355"/>
      <c r="SR78" s="355">
        <f t="shared" ref="SR78:SY78" si="269">SR76*-$SN$78</f>
        <v>-79907.27005169999</v>
      </c>
      <c r="SS78" s="355">
        <f t="shared" si="269"/>
        <v>-79907.27005169999</v>
      </c>
      <c r="ST78" s="355">
        <f t="shared" si="269"/>
        <v>-1280851.40248065</v>
      </c>
      <c r="SU78" s="355">
        <f t="shared" si="269"/>
        <v>-1360758.6725323498</v>
      </c>
      <c r="SV78" s="355">
        <f t="shared" si="269"/>
        <v>-1927704.6856221</v>
      </c>
      <c r="SW78" s="355">
        <f t="shared" si="269"/>
        <v>-3288463.3581544496</v>
      </c>
      <c r="SX78" s="355">
        <f t="shared" si="269"/>
        <v>-1752582.5632108499</v>
      </c>
      <c r="SY78" s="355">
        <f t="shared" si="269"/>
        <v>-5041045.9213653002</v>
      </c>
      <c r="SZ78" s="355"/>
      <c r="TA78" s="355"/>
      <c r="TB78" s="575"/>
      <c r="TC78" s="575"/>
      <c r="TK78"/>
      <c r="TL78"/>
      <c r="TM78"/>
      <c r="TN78"/>
      <c r="TO78"/>
      <c r="TP78"/>
      <c r="TQ78"/>
      <c r="TR78"/>
      <c r="TS78"/>
      <c r="TT78"/>
      <c r="TU78"/>
      <c r="TV78"/>
      <c r="TW78"/>
    </row>
    <row r="79" spans="1:543" ht="15" thickBot="1" x14ac:dyDescent="0.4">
      <c r="S79" s="111">
        <f>ROW()</f>
        <v>79</v>
      </c>
      <c r="T79" s="241" t="s">
        <v>2</v>
      </c>
      <c r="U79" s="241"/>
      <c r="V79" s="583">
        <f>SUM(V72:V78)</f>
        <v>718687758.67800021</v>
      </c>
      <c r="W79" s="583">
        <f>SUM(W72:W78)</f>
        <v>-718687758.67800021</v>
      </c>
      <c r="X79" s="894"/>
      <c r="Y79" s="894"/>
      <c r="Z79" s="894"/>
      <c r="AA79" s="894"/>
      <c r="AB79" s="894"/>
      <c r="AC79" s="894"/>
      <c r="AD79" s="894"/>
      <c r="AE79" s="894"/>
      <c r="AF79" s="894"/>
      <c r="AG79" s="894"/>
      <c r="AH79" s="894"/>
      <c r="AI79" s="894"/>
      <c r="AJ79" s="894"/>
      <c r="AL79"/>
      <c r="AM79"/>
      <c r="AN79"/>
      <c r="AO79"/>
      <c r="AP79"/>
      <c r="AQ79"/>
      <c r="AR79"/>
      <c r="AS79"/>
      <c r="AT79"/>
      <c r="AU79"/>
      <c r="AV79"/>
      <c r="AW79"/>
      <c r="AX79"/>
      <c r="AY79"/>
      <c r="AZ79"/>
      <c r="BA79"/>
      <c r="BB79"/>
      <c r="BD79"/>
      <c r="BE79"/>
      <c r="BF79"/>
      <c r="BG79"/>
      <c r="BH79"/>
      <c r="BI79"/>
      <c r="BJ79"/>
      <c r="BK79"/>
      <c r="BL79"/>
      <c r="BM79"/>
      <c r="BN79"/>
      <c r="BO79"/>
      <c r="BP79"/>
      <c r="BQ79"/>
      <c r="BR79"/>
      <c r="BS79"/>
      <c r="BT79"/>
      <c r="BV79"/>
      <c r="BW79"/>
      <c r="BX79"/>
      <c r="BY79"/>
      <c r="BZ79"/>
      <c r="CA79"/>
      <c r="CB79"/>
      <c r="IS79"/>
      <c r="IT79"/>
      <c r="IU79"/>
      <c r="IV79"/>
      <c r="IW79"/>
      <c r="IX79"/>
      <c r="IY79"/>
      <c r="IZ79"/>
      <c r="JK79"/>
      <c r="JL79"/>
      <c r="JM79"/>
      <c r="JN79"/>
      <c r="JO79"/>
      <c r="JP79"/>
      <c r="JQ79"/>
      <c r="JR79"/>
      <c r="JS79"/>
      <c r="JT79"/>
      <c r="JU79"/>
      <c r="JV79"/>
      <c r="JW79"/>
      <c r="NP79" s="397"/>
      <c r="OW79"/>
      <c r="OX79"/>
      <c r="OY79"/>
      <c r="OZ79"/>
      <c r="PA79"/>
      <c r="PB79" s="593"/>
      <c r="PC79" s="593"/>
      <c r="PD79" s="593"/>
      <c r="PE79" s="593"/>
      <c r="PF79" s="593"/>
      <c r="PG79" s="593"/>
      <c r="PH79" s="593"/>
      <c r="PI79" s="593"/>
      <c r="PJ79" s="593"/>
      <c r="PK79" s="593"/>
      <c r="PL79"/>
      <c r="PM79"/>
      <c r="PN79"/>
      <c r="PO79"/>
      <c r="PP79"/>
      <c r="PR79"/>
      <c r="PS79"/>
      <c r="PT79"/>
      <c r="PU79"/>
      <c r="PV79"/>
      <c r="PW79"/>
      <c r="PX79"/>
      <c r="PY79"/>
      <c r="PZ79"/>
      <c r="QA79"/>
      <c r="QB79"/>
      <c r="QC79"/>
      <c r="QD79"/>
      <c r="QE79"/>
      <c r="QF79"/>
      <c r="QG79"/>
      <c r="QH79"/>
      <c r="RY79" s="1"/>
      <c r="RZ79" s="1"/>
      <c r="SA79" s="1"/>
      <c r="SB79" s="1"/>
      <c r="SC79" s="1"/>
      <c r="SD79" s="1"/>
      <c r="SE79" s="1"/>
      <c r="SF79" s="1"/>
      <c r="SG79" s="1"/>
      <c r="SH79" s="1"/>
      <c r="SI79" s="1"/>
      <c r="SJ79" s="1"/>
      <c r="SK79" s="1"/>
      <c r="SL79" s="336">
        <f>ROW()</f>
        <v>79</v>
      </c>
      <c r="SM79" s="329"/>
      <c r="SN79" s="338"/>
      <c r="SO79" s="363"/>
      <c r="SP79" s="363"/>
      <c r="SQ79" s="363"/>
      <c r="SR79" s="363"/>
      <c r="SS79" s="363"/>
      <c r="ST79" s="363"/>
      <c r="SU79" s="363"/>
      <c r="SV79" s="363"/>
      <c r="SW79" s="363"/>
      <c r="SX79" s="363"/>
      <c r="SY79" s="363"/>
      <c r="SZ79" s="363"/>
      <c r="TA79" s="363"/>
      <c r="TB79" s="579"/>
      <c r="TC79" s="579"/>
      <c r="TK79"/>
      <c r="TL79"/>
      <c r="TM79"/>
      <c r="TN79"/>
      <c r="TO79"/>
      <c r="TP79"/>
      <c r="TQ79"/>
      <c r="TR79"/>
      <c r="TS79"/>
      <c r="TT79"/>
      <c r="TU79"/>
      <c r="TV79"/>
      <c r="TW79"/>
    </row>
    <row r="80" spans="1:543" ht="15.5" thickTop="1" thickBot="1" x14ac:dyDescent="0.4">
      <c r="S80" s="111"/>
      <c r="T80" s="241"/>
      <c r="U80" s="241"/>
      <c r="V80" s="895"/>
      <c r="W80" s="895"/>
      <c r="X80" s="895"/>
      <c r="Y80" s="895"/>
      <c r="Z80" s="895"/>
      <c r="AA80" s="341"/>
      <c r="AB80" s="341"/>
      <c r="AC80" s="341"/>
      <c r="AD80" s="341"/>
      <c r="AE80" s="341"/>
      <c r="AF80" s="341"/>
      <c r="AG80" s="341"/>
      <c r="AH80" s="341"/>
      <c r="AI80" s="341"/>
      <c r="AJ80" s="341"/>
      <c r="AL80"/>
      <c r="AM80"/>
      <c r="AN80"/>
      <c r="AO80"/>
      <c r="AP80"/>
      <c r="AQ80"/>
      <c r="AR80"/>
      <c r="AS80"/>
      <c r="AT80"/>
      <c r="AU80"/>
      <c r="AV80"/>
      <c r="AW80"/>
      <c r="AX80"/>
      <c r="AY80"/>
      <c r="AZ80"/>
      <c r="BA80"/>
      <c r="BB80"/>
      <c r="BD80"/>
      <c r="BE80"/>
      <c r="BF80"/>
      <c r="BG80"/>
      <c r="BH80"/>
      <c r="BI80"/>
      <c r="BJ80"/>
      <c r="BK80"/>
      <c r="BL80"/>
      <c r="BM80"/>
      <c r="BN80"/>
      <c r="BO80"/>
      <c r="BP80"/>
      <c r="BQ80"/>
      <c r="BR80"/>
      <c r="BS80"/>
      <c r="BT80"/>
      <c r="BV80"/>
      <c r="BW80"/>
      <c r="BX80"/>
      <c r="BY80"/>
      <c r="BZ80"/>
      <c r="CA80"/>
      <c r="CB80"/>
      <c r="IS80"/>
      <c r="IT80"/>
      <c r="IU80"/>
      <c r="IV80"/>
      <c r="IW80"/>
      <c r="IX80"/>
      <c r="IY80"/>
      <c r="IZ80"/>
      <c r="JK80"/>
      <c r="JL80"/>
      <c r="JM80"/>
      <c r="JN80"/>
      <c r="JO80"/>
      <c r="JP80"/>
      <c r="JQ80"/>
      <c r="JR80"/>
      <c r="JS80"/>
      <c r="JT80"/>
      <c r="JU80"/>
      <c r="JV80"/>
      <c r="JW80"/>
      <c r="NP80" s="397"/>
      <c r="OW80"/>
      <c r="OX80"/>
      <c r="OY80"/>
      <c r="OZ80"/>
      <c r="PA80"/>
      <c r="PB80" s="593"/>
      <c r="PC80" s="593"/>
      <c r="PD80" s="593"/>
      <c r="PE80" s="593"/>
      <c r="PF80" s="593"/>
      <c r="PG80" s="593"/>
      <c r="PH80" s="593"/>
      <c r="PI80" s="593"/>
      <c r="PJ80" s="593"/>
      <c r="PK80" s="593"/>
      <c r="PL80"/>
      <c r="PM80"/>
      <c r="PN80"/>
      <c r="PO80"/>
      <c r="PP80"/>
      <c r="PR80"/>
      <c r="PS80"/>
      <c r="PT80"/>
      <c r="PU80"/>
      <c r="PV80"/>
      <c r="PW80"/>
      <c r="PX80"/>
      <c r="PY80"/>
      <c r="PZ80"/>
      <c r="QA80"/>
      <c r="QB80"/>
      <c r="QC80"/>
      <c r="QD80"/>
      <c r="QE80"/>
      <c r="QF80"/>
      <c r="QG80"/>
      <c r="QH80"/>
      <c r="RY80" s="1"/>
      <c r="RZ80" s="1"/>
      <c r="SA80" s="1"/>
      <c r="SB80" s="1"/>
      <c r="SC80" s="1"/>
      <c r="SD80" s="1"/>
      <c r="SE80" s="1"/>
      <c r="SF80" s="1"/>
      <c r="SG80" s="1"/>
      <c r="SH80" s="1"/>
      <c r="SI80" s="1"/>
      <c r="SJ80" s="1"/>
      <c r="SK80" s="1"/>
      <c r="SL80" s="336">
        <f>ROW()</f>
        <v>80</v>
      </c>
      <c r="SM80" s="329" t="s">
        <v>224</v>
      </c>
      <c r="SN80" s="338"/>
      <c r="SO80" s="364"/>
      <c r="SP80" s="364"/>
      <c r="SQ80" s="364"/>
      <c r="SR80" s="364">
        <f t="shared" ref="SR80:SY80" si="270">-SR76-SR78</f>
        <v>-300603.53971829993</v>
      </c>
      <c r="SS80" s="364">
        <f t="shared" si="270"/>
        <v>-300603.53971829993</v>
      </c>
      <c r="ST80" s="364">
        <f t="shared" si="270"/>
        <v>-4818440.9902843507</v>
      </c>
      <c r="SU80" s="364">
        <f t="shared" si="270"/>
        <v>-5119044.5300026499</v>
      </c>
      <c r="SV80" s="364">
        <f t="shared" si="270"/>
        <v>-7251841.4363879003</v>
      </c>
      <c r="SW80" s="364">
        <f t="shared" si="270"/>
        <v>-12370885.96639055</v>
      </c>
      <c r="SX80" s="364">
        <f t="shared" si="270"/>
        <v>-6593048.6901741503</v>
      </c>
      <c r="SY80" s="364">
        <f t="shared" si="270"/>
        <v>-18963934.656564698</v>
      </c>
      <c r="SZ80" s="364"/>
      <c r="TA80" s="364"/>
      <c r="TB80" s="578"/>
      <c r="TC80" s="578"/>
      <c r="TD80" s="242"/>
      <c r="TK80"/>
      <c r="TL80"/>
      <c r="TM80"/>
      <c r="TN80"/>
      <c r="TO80"/>
      <c r="TP80"/>
      <c r="TQ80"/>
      <c r="TR80"/>
      <c r="TS80"/>
      <c r="TT80"/>
      <c r="TU80"/>
      <c r="TV80"/>
      <c r="TW80"/>
    </row>
    <row r="81" spans="19:543" ht="15" thickTop="1" x14ac:dyDescent="0.35">
      <c r="S81" s="111"/>
      <c r="T81" s="241"/>
      <c r="U81" s="241"/>
      <c r="V81" s="895"/>
      <c r="W81" s="895"/>
      <c r="X81" s="895"/>
      <c r="Y81" s="895"/>
      <c r="Z81" s="895"/>
      <c r="AA81" s="341"/>
      <c r="AB81" s="341"/>
      <c r="AC81" s="341"/>
      <c r="AD81" s="341"/>
      <c r="AE81" s="341"/>
      <c r="AF81" s="341"/>
      <c r="AG81" s="577"/>
      <c r="AH81" s="577"/>
      <c r="AI81" s="577"/>
      <c r="AJ81" s="577"/>
      <c r="AL81"/>
      <c r="AM81"/>
      <c r="AN81"/>
      <c r="AO81"/>
      <c r="AP81"/>
      <c r="AQ81"/>
      <c r="AR81"/>
      <c r="AS81"/>
      <c r="AT81"/>
      <c r="AU81"/>
      <c r="AV81"/>
      <c r="AW81"/>
      <c r="AX81"/>
      <c r="AY81"/>
      <c r="AZ81"/>
      <c r="BA81"/>
      <c r="BB81"/>
      <c r="BD81"/>
      <c r="BE81"/>
      <c r="BF81"/>
      <c r="BG81"/>
      <c r="BH81"/>
      <c r="BI81"/>
      <c r="BJ81"/>
      <c r="BK81"/>
      <c r="BL81"/>
      <c r="BM81"/>
      <c r="BN81"/>
      <c r="BO81"/>
      <c r="BP81"/>
      <c r="BQ81"/>
      <c r="BR81"/>
      <c r="BS81"/>
      <c r="BT81"/>
      <c r="BV81"/>
      <c r="BW81"/>
      <c r="BX81"/>
      <c r="BY81"/>
      <c r="BZ81"/>
      <c r="CA81"/>
      <c r="CB81"/>
      <c r="IS81"/>
      <c r="IT81"/>
      <c r="IU81"/>
      <c r="IV81"/>
      <c r="IW81"/>
      <c r="IX81"/>
      <c r="IY81"/>
      <c r="IZ81"/>
      <c r="JK81"/>
      <c r="JL81"/>
      <c r="JM81"/>
      <c r="JN81"/>
      <c r="JO81"/>
      <c r="JP81"/>
      <c r="JQ81"/>
      <c r="JR81"/>
      <c r="JS81"/>
      <c r="JT81"/>
      <c r="JU81"/>
      <c r="JV81"/>
      <c r="JW81"/>
      <c r="NP81" s="397"/>
      <c r="OW81"/>
      <c r="OX81"/>
      <c r="OY81"/>
      <c r="OZ81"/>
      <c r="PA81"/>
      <c r="PB81" s="593"/>
      <c r="PC81" s="593"/>
      <c r="PD81" s="593"/>
      <c r="PE81" s="593"/>
      <c r="PF81" s="593"/>
      <c r="PG81" s="593"/>
      <c r="PH81" s="593"/>
      <c r="PI81" s="593"/>
      <c r="PJ81" s="593"/>
      <c r="PK81" s="593"/>
      <c r="PL81"/>
      <c r="PM81"/>
      <c r="PN81"/>
      <c r="PO81"/>
      <c r="PP81"/>
      <c r="PR81"/>
      <c r="PS81"/>
      <c r="PT81"/>
      <c r="PU81"/>
      <c r="PV81"/>
      <c r="PW81"/>
      <c r="PX81"/>
      <c r="PY81"/>
      <c r="PZ81"/>
      <c r="QA81"/>
      <c r="QB81"/>
      <c r="QC81"/>
      <c r="QD81"/>
      <c r="QE81"/>
      <c r="QF81"/>
      <c r="QG81"/>
      <c r="QH81"/>
      <c r="RY81" s="1"/>
      <c r="RZ81" s="1"/>
      <c r="SA81" s="1"/>
      <c r="SB81" s="1"/>
      <c r="SC81" s="1"/>
      <c r="SD81" s="1"/>
      <c r="SE81" s="1"/>
      <c r="SF81" s="1"/>
      <c r="SG81" s="1"/>
      <c r="SH81" s="1"/>
      <c r="SI81" s="1"/>
      <c r="SJ81" s="1"/>
      <c r="SK81" s="1"/>
      <c r="SL81" s="336">
        <f>ROW()</f>
        <v>81</v>
      </c>
      <c r="SM81" s="329"/>
      <c r="SN81" s="338"/>
      <c r="SO81" s="341"/>
      <c r="SP81" s="341"/>
      <c r="SQ81" s="341"/>
      <c r="SR81" s="341"/>
      <c r="SS81" s="341"/>
      <c r="ST81" s="341"/>
      <c r="SU81" s="341"/>
      <c r="SV81" s="341"/>
      <c r="SW81" s="341"/>
      <c r="SX81" s="341"/>
      <c r="SY81" s="341"/>
      <c r="SZ81" s="341"/>
      <c r="TA81" s="341"/>
      <c r="TB81" s="581"/>
      <c r="TC81" s="581"/>
      <c r="TK81"/>
      <c r="TL81"/>
      <c r="TM81"/>
      <c r="TN81"/>
      <c r="TO81"/>
      <c r="TP81"/>
      <c r="TQ81"/>
      <c r="TR81"/>
      <c r="TS81"/>
      <c r="TT81"/>
      <c r="TU81"/>
      <c r="TV81"/>
      <c r="TW81"/>
    </row>
    <row r="82" spans="19:543" x14ac:dyDescent="0.35">
      <c r="T82" s="241"/>
      <c r="U82" s="241"/>
      <c r="V82" s="895"/>
      <c r="W82" s="895"/>
      <c r="X82" s="895"/>
      <c r="Y82" s="895"/>
      <c r="Z82" s="895"/>
      <c r="AA82" s="341"/>
      <c r="AB82" s="341"/>
      <c r="AC82" s="341"/>
      <c r="AD82" s="341"/>
      <c r="AE82" s="341"/>
      <c r="AF82" s="341"/>
      <c r="AG82" s="896"/>
      <c r="AH82" s="896"/>
      <c r="AI82" s="896"/>
      <c r="AJ82" s="896"/>
      <c r="AL82"/>
      <c r="AM82"/>
      <c r="AN82"/>
      <c r="AO82"/>
      <c r="AP82"/>
      <c r="AQ82"/>
      <c r="AR82"/>
      <c r="AS82"/>
      <c r="AT82"/>
      <c r="AU82"/>
      <c r="AV82"/>
      <c r="AW82"/>
      <c r="AX82"/>
      <c r="AY82"/>
      <c r="AZ82"/>
      <c r="BA82"/>
      <c r="BB82"/>
      <c r="BD82"/>
      <c r="BE82"/>
      <c r="BF82"/>
      <c r="BG82"/>
      <c r="BH82"/>
      <c r="BI82"/>
      <c r="BJ82"/>
      <c r="BK82"/>
      <c r="BL82"/>
      <c r="BM82"/>
      <c r="BN82"/>
      <c r="BO82"/>
      <c r="BP82"/>
      <c r="BQ82"/>
      <c r="BR82"/>
      <c r="BS82"/>
      <c r="BT82"/>
      <c r="BV82"/>
      <c r="BW82"/>
      <c r="BX82"/>
      <c r="BY82"/>
      <c r="BZ82"/>
      <c r="CA82"/>
      <c r="CB82"/>
      <c r="IS82"/>
      <c r="IT82"/>
      <c r="IU82"/>
      <c r="IV82"/>
      <c r="IW82"/>
      <c r="IX82"/>
      <c r="IY82"/>
      <c r="IZ82"/>
      <c r="JK82"/>
      <c r="JL82"/>
      <c r="JM82"/>
      <c r="JN82"/>
      <c r="JO82"/>
      <c r="JP82"/>
      <c r="JQ82"/>
      <c r="JR82"/>
      <c r="JS82"/>
      <c r="JT82"/>
      <c r="JU82"/>
      <c r="JV82"/>
      <c r="JW82"/>
      <c r="NP82" s="397"/>
      <c r="OW82"/>
      <c r="OX82"/>
      <c r="OY82"/>
      <c r="OZ82"/>
      <c r="PA82"/>
      <c r="PB82" s="593"/>
      <c r="PC82" s="593"/>
      <c r="PD82" s="593"/>
      <c r="PE82" s="593"/>
      <c r="PF82" s="593"/>
      <c r="PG82" s="593"/>
      <c r="PH82" s="593"/>
      <c r="PI82" s="593"/>
      <c r="PJ82" s="593"/>
      <c r="PK82" s="593"/>
      <c r="PL82"/>
      <c r="PM82"/>
      <c r="PN82"/>
      <c r="PO82"/>
      <c r="PP82"/>
      <c r="PR82"/>
      <c r="PS82"/>
      <c r="PT82"/>
      <c r="PU82"/>
      <c r="PV82"/>
      <c r="PW82"/>
      <c r="PX82"/>
      <c r="PY82"/>
      <c r="PZ82"/>
      <c r="QA82"/>
      <c r="QB82"/>
      <c r="QC82"/>
      <c r="QD82"/>
      <c r="QE82"/>
      <c r="QF82"/>
      <c r="QG82"/>
      <c r="QH82"/>
      <c r="RY82" s="1"/>
      <c r="RZ82" s="1"/>
      <c r="SA82" s="1"/>
      <c r="SB82" s="1"/>
      <c r="SC82" s="1"/>
      <c r="SD82" s="1"/>
      <c r="SE82" s="1"/>
      <c r="SF82" s="1"/>
      <c r="SG82" s="1"/>
      <c r="SH82" s="1"/>
      <c r="SI82" s="1"/>
      <c r="SJ82" s="1"/>
      <c r="SK82" s="1"/>
      <c r="SL82" s="336">
        <f>ROW()</f>
        <v>82</v>
      </c>
      <c r="SM82" s="329" t="s">
        <v>898</v>
      </c>
      <c r="SN82" s="338"/>
      <c r="SO82" s="362"/>
      <c r="SP82" s="362"/>
      <c r="SQ82" s="362"/>
      <c r="SR82" s="362">
        <v>47957544.839049995</v>
      </c>
      <c r="SS82" s="362">
        <f t="shared" ref="SS82:SS84" si="271">SR82</f>
        <v>47957544.839049995</v>
      </c>
      <c r="ST82" s="362">
        <v>62546234.740635008</v>
      </c>
      <c r="SU82" s="362">
        <f t="shared" ref="SU82:SU84" si="272">ST82+SS82</f>
        <v>110503779.579685</v>
      </c>
      <c r="SV82" s="362">
        <v>13304012.333819985</v>
      </c>
      <c r="SW82" s="362">
        <f t="shared" ref="SW82:SW84" si="273">SV82+SU82</f>
        <v>123807791.91350499</v>
      </c>
      <c r="SX82" s="362">
        <v>67432604.695660084</v>
      </c>
      <c r="SY82" s="362">
        <f t="shared" ref="SY82:SY84" si="274">SX82+SW82</f>
        <v>191240396.60916507</v>
      </c>
      <c r="SZ82" s="362"/>
      <c r="TA82" s="362"/>
      <c r="TB82" s="576"/>
      <c r="TC82" s="576"/>
      <c r="TK82"/>
      <c r="TL82"/>
      <c r="TM82"/>
      <c r="TN82"/>
      <c r="TO82"/>
      <c r="TP82"/>
      <c r="TQ82"/>
      <c r="TR82"/>
      <c r="TS82"/>
      <c r="TT82"/>
      <c r="TU82"/>
      <c r="TV82"/>
      <c r="TW82"/>
    </row>
    <row r="83" spans="19:543" x14ac:dyDescent="0.35">
      <c r="T83" s="241"/>
      <c r="U83" s="241"/>
      <c r="V83" s="895"/>
      <c r="W83" s="895"/>
      <c r="X83" s="895"/>
      <c r="Y83" s="895"/>
      <c r="Z83" s="895"/>
      <c r="AA83" s="341"/>
      <c r="AB83" s="341"/>
      <c r="AC83" s="341"/>
      <c r="AD83" s="341"/>
      <c r="AE83" s="341"/>
      <c r="AF83" s="341"/>
      <c r="AG83" s="897"/>
      <c r="AH83" s="897"/>
      <c r="AI83" s="897"/>
      <c r="AJ83" s="897"/>
      <c r="AL83"/>
      <c r="AM83"/>
      <c r="AN83"/>
      <c r="AO83"/>
      <c r="AP83"/>
      <c r="AQ83"/>
      <c r="AR83"/>
      <c r="AS83"/>
      <c r="AT83"/>
      <c r="AU83"/>
      <c r="AV83"/>
      <c r="AW83"/>
      <c r="AX83"/>
      <c r="AY83"/>
      <c r="AZ83"/>
      <c r="BA83"/>
      <c r="BB83"/>
      <c r="BD83"/>
      <c r="BE83"/>
      <c r="BF83"/>
      <c r="BG83"/>
      <c r="BH83"/>
      <c r="BI83"/>
      <c r="BJ83"/>
      <c r="BK83"/>
      <c r="BL83"/>
      <c r="BM83"/>
      <c r="BN83"/>
      <c r="BO83"/>
      <c r="BP83"/>
      <c r="BQ83"/>
      <c r="BR83"/>
      <c r="BS83"/>
      <c r="BT83"/>
      <c r="BV83"/>
      <c r="BW83"/>
      <c r="BX83"/>
      <c r="BY83"/>
      <c r="BZ83"/>
      <c r="CA83"/>
      <c r="CB83"/>
      <c r="IS83"/>
      <c r="IT83"/>
      <c r="IU83"/>
      <c r="IV83"/>
      <c r="IW83"/>
      <c r="IX83"/>
      <c r="IY83"/>
      <c r="IZ83"/>
      <c r="JK83"/>
      <c r="JL83"/>
      <c r="JM83"/>
      <c r="JN83"/>
      <c r="JO83"/>
      <c r="JP83"/>
      <c r="JQ83"/>
      <c r="JR83"/>
      <c r="JS83"/>
      <c r="JT83"/>
      <c r="JU83"/>
      <c r="JV83"/>
      <c r="JW83"/>
      <c r="NP83" s="397"/>
      <c r="OW83"/>
      <c r="OX83"/>
      <c r="OY83"/>
      <c r="OZ83"/>
      <c r="PA83"/>
      <c r="PB83" s="593"/>
      <c r="PC83" s="593"/>
      <c r="PD83" s="593"/>
      <c r="PE83" s="593"/>
      <c r="PF83" s="593"/>
      <c r="PG83" s="593"/>
      <c r="PH83" s="593"/>
      <c r="PI83" s="593"/>
      <c r="PJ83" s="593"/>
      <c r="PK83" s="593"/>
      <c r="PL83"/>
      <c r="PM83"/>
      <c r="PN83"/>
      <c r="PO83"/>
      <c r="PP83"/>
      <c r="PR83"/>
      <c r="PS83"/>
      <c r="PT83"/>
      <c r="PU83"/>
      <c r="PV83"/>
      <c r="PW83"/>
      <c r="PX83"/>
      <c r="PY83"/>
      <c r="PZ83"/>
      <c r="QA83"/>
      <c r="QB83"/>
      <c r="QC83"/>
      <c r="QD83"/>
      <c r="QE83"/>
      <c r="QF83"/>
      <c r="QG83"/>
      <c r="QH83"/>
      <c r="RY83" s="1"/>
      <c r="RZ83" s="1"/>
      <c r="SA83" s="1"/>
      <c r="SB83" s="1"/>
      <c r="SC83" s="1"/>
      <c r="SD83" s="1"/>
      <c r="SE83" s="1"/>
      <c r="SF83" s="1"/>
      <c r="SG83" s="1"/>
      <c r="SH83" s="1"/>
      <c r="SI83" s="1"/>
      <c r="SJ83" s="1"/>
      <c r="SK83" s="1"/>
      <c r="SL83" s="336">
        <f>ROW()</f>
        <v>83</v>
      </c>
      <c r="SM83" s="329" t="s">
        <v>899</v>
      </c>
      <c r="SN83" s="338"/>
      <c r="SO83" s="356"/>
      <c r="SP83" s="356"/>
      <c r="SQ83" s="356"/>
      <c r="SR83" s="356">
        <v>-380510.80976999988</v>
      </c>
      <c r="SS83" s="356">
        <f t="shared" si="271"/>
        <v>-380510.80976999988</v>
      </c>
      <c r="ST83" s="356">
        <v>-6479803.2025349988</v>
      </c>
      <c r="SU83" s="356">
        <f t="shared" si="272"/>
        <v>-6860314.0123049989</v>
      </c>
      <c r="SV83" s="356">
        <v>-7425513.8108900003</v>
      </c>
      <c r="SW83" s="356">
        <f t="shared" si="273"/>
        <v>-14285827.823194999</v>
      </c>
      <c r="SX83" s="356">
        <v>-19967157.574074995</v>
      </c>
      <c r="SY83" s="356">
        <f t="shared" si="274"/>
        <v>-34252985.397269994</v>
      </c>
      <c r="SZ83" s="356"/>
      <c r="TA83" s="356"/>
      <c r="TB83" s="525"/>
      <c r="TC83" s="525"/>
      <c r="TK83"/>
      <c r="TL83"/>
      <c r="TM83"/>
      <c r="TN83"/>
      <c r="TO83"/>
      <c r="TP83"/>
      <c r="TQ83"/>
      <c r="TR83"/>
      <c r="TS83"/>
      <c r="TT83"/>
      <c r="TU83"/>
      <c r="TV83"/>
      <c r="TW83"/>
    </row>
    <row r="84" spans="19:543" x14ac:dyDescent="0.35">
      <c r="T84" s="241"/>
      <c r="U84" s="241"/>
      <c r="V84" s="895"/>
      <c r="W84" s="895"/>
      <c r="X84" s="895"/>
      <c r="Y84" s="895"/>
      <c r="Z84" s="895"/>
      <c r="AA84" s="341"/>
      <c r="AB84" s="341"/>
      <c r="AC84" s="341"/>
      <c r="AD84" s="341"/>
      <c r="AE84" s="341"/>
      <c r="AF84" s="341"/>
      <c r="AG84" s="869"/>
      <c r="AH84" s="869"/>
      <c r="AI84" s="869"/>
      <c r="AJ84" s="869"/>
      <c r="AL84"/>
      <c r="AM84"/>
      <c r="AN84"/>
      <c r="AO84"/>
      <c r="AP84"/>
      <c r="AQ84"/>
      <c r="AR84"/>
      <c r="AS84"/>
      <c r="AT84"/>
      <c r="AU84"/>
      <c r="AV84"/>
      <c r="AW84"/>
      <c r="AX84"/>
      <c r="AY84"/>
      <c r="AZ84"/>
      <c r="BA84"/>
      <c r="BB84"/>
      <c r="BD84"/>
      <c r="BE84"/>
      <c r="BF84"/>
      <c r="BG84"/>
      <c r="BH84"/>
      <c r="BI84"/>
      <c r="BJ84"/>
      <c r="BK84"/>
      <c r="BL84"/>
      <c r="BM84"/>
      <c r="BN84"/>
      <c r="BO84"/>
      <c r="BP84"/>
      <c r="BQ84"/>
      <c r="BR84"/>
      <c r="BS84"/>
      <c r="BT84"/>
      <c r="BV84"/>
      <c r="BW84"/>
      <c r="BX84"/>
      <c r="BY84"/>
      <c r="BZ84"/>
      <c r="CA84"/>
      <c r="CB84"/>
      <c r="IS84"/>
      <c r="IT84"/>
      <c r="IU84"/>
      <c r="IV84"/>
      <c r="IW84"/>
      <c r="IX84"/>
      <c r="IY84"/>
      <c r="IZ84"/>
      <c r="JK84"/>
      <c r="JL84"/>
      <c r="JM84"/>
      <c r="JN84"/>
      <c r="JO84"/>
      <c r="JP84"/>
      <c r="JQ84"/>
      <c r="JR84"/>
      <c r="JS84"/>
      <c r="JT84"/>
      <c r="JU84"/>
      <c r="JV84"/>
      <c r="JW84"/>
      <c r="NP84" s="397"/>
      <c r="OW84"/>
      <c r="OX84"/>
      <c r="OY84"/>
      <c r="OZ84"/>
      <c r="PA84"/>
      <c r="PB84" s="593"/>
      <c r="PC84" s="593"/>
      <c r="PD84" s="593"/>
      <c r="PE84" s="593"/>
      <c r="PF84" s="593"/>
      <c r="PG84" s="593"/>
      <c r="PH84" s="593"/>
      <c r="PI84" s="593"/>
      <c r="PJ84" s="593"/>
      <c r="PK84" s="593"/>
      <c r="PL84"/>
      <c r="PM84"/>
      <c r="PN84"/>
      <c r="PO84"/>
      <c r="PP84"/>
      <c r="PR84"/>
      <c r="PS84"/>
      <c r="PT84"/>
      <c r="PU84"/>
      <c r="PV84"/>
      <c r="PW84"/>
      <c r="PX84"/>
      <c r="PY84"/>
      <c r="PZ84"/>
      <c r="QA84"/>
      <c r="QB84"/>
      <c r="QC84"/>
      <c r="QD84"/>
      <c r="QE84"/>
      <c r="QF84"/>
      <c r="QG84"/>
      <c r="QH84"/>
      <c r="RY84" s="1"/>
      <c r="RZ84" s="1"/>
      <c r="SA84" s="1"/>
      <c r="SB84" s="1"/>
      <c r="SC84" s="1"/>
      <c r="SD84" s="1"/>
      <c r="SE84" s="1"/>
      <c r="SF84" s="1"/>
      <c r="SG84" s="1"/>
      <c r="SH84" s="1"/>
      <c r="SI84" s="1"/>
      <c r="SJ84" s="1"/>
      <c r="SK84" s="1"/>
      <c r="SL84" s="336">
        <f>ROW()</f>
        <v>84</v>
      </c>
      <c r="SM84" s="329" t="s">
        <v>900</v>
      </c>
      <c r="SN84" s="338"/>
      <c r="SO84" s="355"/>
      <c r="SP84" s="355"/>
      <c r="SQ84" s="355"/>
      <c r="SR84" s="355">
        <v>-617120.61857000005</v>
      </c>
      <c r="SS84" s="355">
        <f t="shared" si="271"/>
        <v>-617120.61857000005</v>
      </c>
      <c r="ST84" s="355">
        <v>-1934020.11295</v>
      </c>
      <c r="SU84" s="355">
        <f t="shared" si="272"/>
        <v>-2551140.7315199999</v>
      </c>
      <c r="SV84" s="355">
        <v>-1475429.2189399996</v>
      </c>
      <c r="SW84" s="355">
        <f t="shared" si="273"/>
        <v>-4026569.9504599995</v>
      </c>
      <c r="SX84" s="355">
        <v>-3360920.1487800009</v>
      </c>
      <c r="SY84" s="355">
        <f t="shared" si="274"/>
        <v>-7387490.0992400004</v>
      </c>
      <c r="SZ84" s="355"/>
      <c r="TA84" s="355"/>
      <c r="TB84" s="575"/>
      <c r="TC84" s="575"/>
      <c r="TK84"/>
      <c r="TL84"/>
      <c r="TM84"/>
      <c r="TN84"/>
      <c r="TO84"/>
      <c r="TP84"/>
      <c r="TQ84"/>
      <c r="TR84"/>
      <c r="TS84"/>
      <c r="TT84"/>
      <c r="TU84"/>
      <c r="TV84"/>
      <c r="TW84"/>
    </row>
    <row r="85" spans="19:543" ht="15" thickBot="1" x14ac:dyDescent="0.4">
      <c r="T85" s="241"/>
      <c r="U85" s="241"/>
      <c r="V85" s="895"/>
      <c r="W85" s="895"/>
      <c r="X85" s="895"/>
      <c r="Y85" s="895"/>
      <c r="Z85" s="895"/>
      <c r="AA85" s="341"/>
      <c r="AB85" s="341"/>
      <c r="AC85" s="341"/>
      <c r="AD85" s="341"/>
      <c r="AE85" s="341"/>
      <c r="AF85" s="341"/>
      <c r="AG85" s="868"/>
      <c r="AH85" s="868"/>
      <c r="AI85" s="868"/>
      <c r="AJ85" s="868"/>
      <c r="AL85"/>
      <c r="AM85"/>
      <c r="AN85"/>
      <c r="AO85"/>
      <c r="AP85"/>
      <c r="AQ85"/>
      <c r="AR85"/>
      <c r="AS85"/>
      <c r="AT85"/>
      <c r="AU85"/>
      <c r="AV85"/>
      <c r="AW85"/>
      <c r="AX85"/>
      <c r="AY85"/>
      <c r="AZ85"/>
      <c r="BA85"/>
      <c r="BB85"/>
      <c r="BD85"/>
      <c r="BE85"/>
      <c r="BF85"/>
      <c r="BG85"/>
      <c r="BH85"/>
      <c r="BI85"/>
      <c r="BJ85"/>
      <c r="BK85"/>
      <c r="BL85"/>
      <c r="BM85"/>
      <c r="BN85"/>
      <c r="BO85"/>
      <c r="BP85"/>
      <c r="BQ85"/>
      <c r="BR85"/>
      <c r="BS85"/>
      <c r="BT85"/>
      <c r="BV85"/>
      <c r="BW85"/>
      <c r="BX85"/>
      <c r="BY85"/>
      <c r="BZ85"/>
      <c r="CA85"/>
      <c r="CB85"/>
      <c r="IS85"/>
      <c r="IT85"/>
      <c r="IU85"/>
      <c r="IV85"/>
      <c r="IW85"/>
      <c r="IX85"/>
      <c r="IY85"/>
      <c r="IZ85"/>
      <c r="JK85"/>
      <c r="JL85"/>
      <c r="JM85"/>
      <c r="JN85"/>
      <c r="JO85"/>
      <c r="JP85"/>
      <c r="JQ85"/>
      <c r="JR85"/>
      <c r="JS85"/>
      <c r="JT85"/>
      <c r="JU85"/>
      <c r="JV85"/>
      <c r="JW85"/>
      <c r="NP85" s="397"/>
      <c r="OW85"/>
      <c r="OX85"/>
      <c r="OY85"/>
      <c r="OZ85"/>
      <c r="PA85"/>
      <c r="PB85" s="593"/>
      <c r="PC85" s="593"/>
      <c r="PD85" s="593"/>
      <c r="PE85" s="593"/>
      <c r="PF85" s="593"/>
      <c r="PG85" s="593"/>
      <c r="PH85" s="593"/>
      <c r="PI85" s="593"/>
      <c r="PJ85" s="593"/>
      <c r="PK85" s="593"/>
      <c r="PL85"/>
      <c r="PM85"/>
      <c r="PN85"/>
      <c r="PO85"/>
      <c r="PP85"/>
      <c r="PR85"/>
      <c r="PS85"/>
      <c r="PT85"/>
      <c r="PU85"/>
      <c r="PV85"/>
      <c r="PW85"/>
      <c r="PX85"/>
      <c r="PY85"/>
      <c r="PZ85"/>
      <c r="QA85"/>
      <c r="QB85"/>
      <c r="QC85"/>
      <c r="QD85"/>
      <c r="QE85"/>
      <c r="QF85"/>
      <c r="QG85"/>
      <c r="QH85"/>
      <c r="RY85" s="1"/>
      <c r="RZ85" s="1"/>
      <c r="SA85" s="1"/>
      <c r="SB85" s="1"/>
      <c r="SC85" s="1"/>
      <c r="SD85" s="1"/>
      <c r="SE85" s="1"/>
      <c r="SF85" s="1"/>
      <c r="SG85" s="1"/>
      <c r="SH85" s="1"/>
      <c r="SI85" s="1"/>
      <c r="SJ85" s="1"/>
      <c r="SK85" s="1"/>
      <c r="SL85" s="336">
        <f>ROW()</f>
        <v>85</v>
      </c>
      <c r="SM85" s="329" t="s">
        <v>872</v>
      </c>
      <c r="SN85" s="338"/>
      <c r="SO85" s="371"/>
      <c r="SP85" s="371"/>
      <c r="SQ85" s="371"/>
      <c r="SR85" s="371">
        <f t="shared" ref="SR85:SY85" si="275">SUM(SR82:SR84)</f>
        <v>46959913.410709992</v>
      </c>
      <c r="SS85" s="371">
        <f t="shared" si="275"/>
        <v>46959913.410709992</v>
      </c>
      <c r="ST85" s="371">
        <f t="shared" si="275"/>
        <v>54132411.425150014</v>
      </c>
      <c r="SU85" s="371">
        <f t="shared" si="275"/>
        <v>101092324.83586001</v>
      </c>
      <c r="SV85" s="371">
        <f t="shared" si="275"/>
        <v>4403069.303989986</v>
      </c>
      <c r="SW85" s="371">
        <f t="shared" si="275"/>
        <v>105495394.13984999</v>
      </c>
      <c r="SX85" s="371">
        <f t="shared" si="275"/>
        <v>44104526.972805083</v>
      </c>
      <c r="SY85" s="371">
        <f t="shared" si="275"/>
        <v>149599921.11265507</v>
      </c>
      <c r="SZ85" s="371"/>
      <c r="TA85" s="371"/>
      <c r="TB85" s="574"/>
      <c r="TC85" s="574"/>
      <c r="TK85"/>
      <c r="TL85"/>
      <c r="TM85"/>
      <c r="TN85"/>
      <c r="TO85"/>
      <c r="TP85"/>
      <c r="TQ85"/>
      <c r="TR85"/>
      <c r="TS85"/>
      <c r="TT85"/>
      <c r="TU85"/>
      <c r="TV85"/>
      <c r="TW85"/>
    </row>
    <row r="86" spans="19:543" ht="15" thickTop="1" x14ac:dyDescent="0.35">
      <c r="T86" s="241"/>
      <c r="U86" s="241"/>
      <c r="V86" s="895"/>
      <c r="W86" s="895"/>
      <c r="X86" s="895"/>
      <c r="Y86" s="895"/>
      <c r="Z86" s="895"/>
      <c r="AA86" s="341"/>
      <c r="AB86" s="341"/>
      <c r="AC86" s="341"/>
      <c r="AD86" s="341"/>
      <c r="AE86" s="341"/>
      <c r="AF86" s="341"/>
      <c r="AG86" s="868"/>
      <c r="AH86" s="868"/>
      <c r="AI86" s="868"/>
      <c r="AJ86" s="868"/>
      <c r="AL86"/>
      <c r="AM86"/>
      <c r="AN86"/>
      <c r="AO86"/>
      <c r="AP86"/>
      <c r="AQ86"/>
      <c r="AR86"/>
      <c r="AS86"/>
      <c r="AT86"/>
      <c r="AU86"/>
      <c r="AV86"/>
      <c r="AW86"/>
      <c r="AX86"/>
      <c r="AY86"/>
      <c r="AZ86"/>
      <c r="BA86"/>
      <c r="BB86"/>
      <c r="BD86"/>
      <c r="BE86"/>
      <c r="BF86"/>
      <c r="BG86"/>
      <c r="BH86"/>
      <c r="BI86"/>
      <c r="BJ86"/>
      <c r="BK86"/>
      <c r="BL86"/>
      <c r="BM86"/>
      <c r="BN86"/>
      <c r="BO86"/>
      <c r="BP86"/>
      <c r="BQ86"/>
      <c r="BR86"/>
      <c r="BS86"/>
      <c r="BT86"/>
      <c r="BV86"/>
      <c r="BW86"/>
      <c r="BX86"/>
      <c r="BY86"/>
      <c r="BZ86"/>
      <c r="CA86"/>
      <c r="CB86"/>
      <c r="IS86"/>
      <c r="IT86"/>
      <c r="IU86"/>
      <c r="IV86"/>
      <c r="IW86"/>
      <c r="IX86"/>
      <c r="IY86"/>
      <c r="IZ86"/>
      <c r="JK86"/>
      <c r="JL86"/>
      <c r="JM86"/>
      <c r="JN86"/>
      <c r="JO86"/>
      <c r="JP86"/>
      <c r="JQ86"/>
      <c r="JR86"/>
      <c r="JS86"/>
      <c r="JT86"/>
      <c r="JU86"/>
      <c r="JV86"/>
      <c r="JW86"/>
      <c r="NP86" s="397"/>
      <c r="OW86"/>
      <c r="OX86"/>
      <c r="OY86"/>
      <c r="OZ86"/>
      <c r="PA86"/>
      <c r="PB86" s="593"/>
      <c r="PC86" s="593"/>
      <c r="PD86" s="593"/>
      <c r="PE86" s="593"/>
      <c r="PF86" s="593"/>
      <c r="PG86" s="593"/>
      <c r="PH86" s="593"/>
      <c r="PI86" s="593"/>
      <c r="PJ86" s="593"/>
      <c r="PK86" s="593"/>
      <c r="PL86"/>
      <c r="PM86"/>
      <c r="PN86"/>
      <c r="PO86"/>
      <c r="PP86"/>
      <c r="PR86"/>
      <c r="PS86"/>
      <c r="PT86"/>
      <c r="PU86"/>
      <c r="PV86"/>
      <c r="PW86"/>
      <c r="PX86"/>
      <c r="PY86"/>
      <c r="PZ86"/>
      <c r="QA86"/>
      <c r="QB86"/>
      <c r="QC86"/>
      <c r="QD86"/>
      <c r="QE86"/>
      <c r="QF86"/>
      <c r="QG86"/>
      <c r="QH86"/>
      <c r="RY86" s="1"/>
      <c r="RZ86" s="1"/>
      <c r="SA86" s="1"/>
      <c r="SB86" s="1"/>
      <c r="SC86" s="1"/>
      <c r="SD86" s="1"/>
      <c r="SE86" s="1"/>
      <c r="SF86" s="1"/>
      <c r="SG86" s="1"/>
      <c r="SH86" s="1"/>
      <c r="SI86" s="1"/>
      <c r="SJ86" s="1"/>
      <c r="SK86" s="1"/>
      <c r="SL86" s="336">
        <f>ROW()</f>
        <v>86</v>
      </c>
      <c r="SM86" s="329"/>
      <c r="SN86" s="338"/>
      <c r="SO86" s="341"/>
      <c r="SP86" s="341"/>
      <c r="SQ86" s="341"/>
      <c r="SR86" s="341"/>
      <c r="SS86" s="341"/>
      <c r="ST86" s="341"/>
      <c r="SU86" s="341"/>
      <c r="SV86" s="341"/>
      <c r="SW86" s="341"/>
      <c r="SX86" s="341"/>
      <c r="SY86" s="341"/>
      <c r="SZ86" s="341"/>
      <c r="TA86" s="341"/>
      <c r="TB86" s="581"/>
      <c r="TC86" s="581"/>
      <c r="TK86"/>
      <c r="TL86"/>
      <c r="TM86"/>
      <c r="TN86"/>
      <c r="TO86"/>
      <c r="TP86"/>
      <c r="TQ86"/>
      <c r="TR86"/>
      <c r="TS86"/>
      <c r="TT86"/>
      <c r="TU86"/>
      <c r="TV86"/>
      <c r="TW86"/>
    </row>
    <row r="87" spans="19:543" x14ac:dyDescent="0.35">
      <c r="T87" s="241"/>
      <c r="U87" s="241"/>
      <c r="V87" s="895"/>
      <c r="W87" s="895"/>
      <c r="X87" s="895"/>
      <c r="Y87" s="895"/>
      <c r="Z87" s="895"/>
      <c r="AA87" s="341"/>
      <c r="AB87" s="341"/>
      <c r="AC87" s="341"/>
      <c r="AD87" s="341"/>
      <c r="AE87" s="341"/>
      <c r="AF87" s="341"/>
      <c r="AG87" s="868"/>
      <c r="AH87" s="868"/>
      <c r="AI87" s="868"/>
      <c r="AJ87" s="868"/>
      <c r="AL87"/>
      <c r="AM87"/>
      <c r="AN87"/>
      <c r="AO87"/>
      <c r="AP87"/>
      <c r="AQ87"/>
      <c r="AR87"/>
      <c r="AS87"/>
      <c r="AT87"/>
      <c r="AU87"/>
      <c r="AV87"/>
      <c r="AW87"/>
      <c r="AX87"/>
      <c r="AY87"/>
      <c r="AZ87"/>
      <c r="BA87"/>
      <c r="BB87"/>
      <c r="BD87"/>
      <c r="BE87"/>
      <c r="BF87"/>
      <c r="BG87"/>
      <c r="BH87"/>
      <c r="BI87"/>
      <c r="BJ87"/>
      <c r="BK87"/>
      <c r="BL87"/>
      <c r="BM87"/>
      <c r="BN87"/>
      <c r="BO87"/>
      <c r="BP87"/>
      <c r="BQ87"/>
      <c r="BR87"/>
      <c r="BS87"/>
      <c r="BT87"/>
      <c r="BV87"/>
      <c r="BW87"/>
      <c r="BX87"/>
      <c r="BY87"/>
      <c r="BZ87"/>
      <c r="CA87"/>
      <c r="CB87"/>
      <c r="IS87"/>
      <c r="IT87"/>
      <c r="IU87"/>
      <c r="IV87"/>
      <c r="IW87"/>
      <c r="IX87"/>
      <c r="IY87"/>
      <c r="IZ87"/>
      <c r="JK87"/>
      <c r="JL87"/>
      <c r="JM87"/>
      <c r="JN87"/>
      <c r="JO87"/>
      <c r="JP87"/>
      <c r="JQ87"/>
      <c r="JR87"/>
      <c r="JS87"/>
      <c r="JT87"/>
      <c r="JU87"/>
      <c r="JV87"/>
      <c r="JW87"/>
      <c r="NP87" s="397"/>
      <c r="OW87"/>
      <c r="OX87"/>
      <c r="OY87"/>
      <c r="OZ87"/>
      <c r="PA87"/>
      <c r="PB87" s="593"/>
      <c r="PC87" s="593"/>
      <c r="PD87" s="593"/>
      <c r="PE87" s="593"/>
      <c r="PF87" s="593"/>
      <c r="PG87" s="593"/>
      <c r="PH87" s="593"/>
      <c r="PI87" s="593"/>
      <c r="PJ87" s="593"/>
      <c r="PK87" s="593"/>
      <c r="PL87"/>
      <c r="PM87"/>
      <c r="PN87"/>
      <c r="PO87"/>
      <c r="PP87"/>
      <c r="PR87"/>
      <c r="PS87"/>
      <c r="PT87"/>
      <c r="PU87"/>
      <c r="PV87"/>
      <c r="PW87"/>
      <c r="PX87"/>
      <c r="PY87"/>
      <c r="PZ87"/>
      <c r="QA87"/>
      <c r="QB87"/>
      <c r="QC87"/>
      <c r="QD87"/>
      <c r="QE87"/>
      <c r="QF87"/>
      <c r="QG87"/>
      <c r="QH87"/>
      <c r="RY87" s="1"/>
      <c r="RZ87" s="1"/>
      <c r="SA87" s="1"/>
      <c r="SB87" s="1"/>
      <c r="SC87" s="1"/>
      <c r="SD87" s="1"/>
      <c r="SE87" s="1"/>
      <c r="SF87" s="1"/>
      <c r="SG87" s="1"/>
      <c r="SH87" s="1"/>
      <c r="SI87" s="1"/>
      <c r="SJ87" s="1"/>
      <c r="SK87" s="1"/>
      <c r="SL87" s="336">
        <f>ROW()</f>
        <v>87</v>
      </c>
      <c r="SM87" s="411" t="s">
        <v>965</v>
      </c>
      <c r="SN87" s="338"/>
      <c r="SO87" s="341"/>
      <c r="SP87" s="341"/>
      <c r="SQ87" s="341"/>
      <c r="SR87" s="341"/>
      <c r="SS87" s="341"/>
      <c r="ST87" s="341"/>
      <c r="SU87" s="341"/>
      <c r="SV87" s="341"/>
      <c r="SW87" s="341"/>
      <c r="SX87" s="341"/>
      <c r="SY87" s="341"/>
      <c r="SZ87" s="341"/>
      <c r="TA87" s="341"/>
      <c r="TB87" s="581"/>
      <c r="TC87" s="581"/>
      <c r="TK87"/>
      <c r="TL87"/>
      <c r="TM87"/>
      <c r="TN87"/>
      <c r="TO87"/>
      <c r="TP87"/>
      <c r="TQ87"/>
      <c r="TR87"/>
      <c r="TS87"/>
      <c r="TT87"/>
      <c r="TU87"/>
      <c r="TV87"/>
      <c r="TW87"/>
    </row>
    <row r="88" spans="19:543" x14ac:dyDescent="0.35">
      <c r="T88" s="241"/>
      <c r="U88" s="241"/>
      <c r="V88" s="895"/>
      <c r="W88" s="895"/>
      <c r="X88" s="895"/>
      <c r="Y88" s="895"/>
      <c r="Z88" s="895"/>
      <c r="AA88" s="341"/>
      <c r="AB88" s="341"/>
      <c r="AC88" s="341"/>
      <c r="AD88" s="341"/>
      <c r="AE88" s="341"/>
      <c r="AF88" s="341"/>
      <c r="AG88" s="868"/>
      <c r="AH88" s="868"/>
      <c r="AI88" s="868"/>
      <c r="AJ88" s="868"/>
      <c r="AL88"/>
      <c r="AM88"/>
      <c r="AN88"/>
      <c r="AO88"/>
      <c r="AP88"/>
      <c r="AQ88"/>
      <c r="AR88"/>
      <c r="AS88"/>
      <c r="AT88"/>
      <c r="AU88"/>
      <c r="AV88"/>
      <c r="AW88"/>
      <c r="AX88"/>
      <c r="AY88"/>
      <c r="AZ88"/>
      <c r="BA88"/>
      <c r="BB88"/>
      <c r="BD88"/>
      <c r="BE88"/>
      <c r="BF88"/>
      <c r="BG88"/>
      <c r="BH88"/>
      <c r="BI88"/>
      <c r="BJ88"/>
      <c r="BK88"/>
      <c r="BL88"/>
      <c r="BM88"/>
      <c r="BN88"/>
      <c r="BO88"/>
      <c r="BP88"/>
      <c r="BQ88"/>
      <c r="BR88"/>
      <c r="BS88"/>
      <c r="BT88"/>
      <c r="BV88"/>
      <c r="BW88"/>
      <c r="BX88"/>
      <c r="BY88"/>
      <c r="BZ88"/>
      <c r="CA88"/>
      <c r="CB88"/>
      <c r="IS88"/>
      <c r="IT88"/>
      <c r="IU88"/>
      <c r="IV88"/>
      <c r="IW88"/>
      <c r="IX88"/>
      <c r="IY88"/>
      <c r="IZ88"/>
      <c r="JK88"/>
      <c r="JL88"/>
      <c r="JM88"/>
      <c r="JN88"/>
      <c r="JO88"/>
      <c r="JP88"/>
      <c r="JQ88"/>
      <c r="JR88"/>
      <c r="JS88"/>
      <c r="JT88"/>
      <c r="JU88"/>
      <c r="JV88"/>
      <c r="JW88"/>
      <c r="NP88" s="397"/>
      <c r="OW88"/>
      <c r="OX88"/>
      <c r="OY88"/>
      <c r="OZ88"/>
      <c r="PA88"/>
      <c r="PB88" s="593"/>
      <c r="PC88" s="593"/>
      <c r="PD88" s="593"/>
      <c r="PE88" s="593"/>
      <c r="PF88" s="593"/>
      <c r="PG88" s="593"/>
      <c r="PH88" s="593"/>
      <c r="PI88" s="593"/>
      <c r="PJ88" s="593"/>
      <c r="PK88" s="593"/>
      <c r="PL88"/>
      <c r="PM88"/>
      <c r="PN88"/>
      <c r="PO88"/>
      <c r="PP88"/>
      <c r="PR88"/>
      <c r="PS88"/>
      <c r="PT88"/>
      <c r="PU88"/>
      <c r="PV88"/>
      <c r="PW88"/>
      <c r="PX88"/>
      <c r="PY88"/>
      <c r="PZ88"/>
      <c r="QA88"/>
      <c r="QB88"/>
      <c r="QC88"/>
      <c r="QD88"/>
      <c r="QE88"/>
      <c r="QF88"/>
      <c r="QG88"/>
      <c r="QH88"/>
      <c r="RY88" s="1"/>
      <c r="RZ88" s="1"/>
      <c r="SA88" s="1"/>
      <c r="SB88" s="1"/>
      <c r="SC88" s="1"/>
      <c r="SD88" s="1"/>
      <c r="SE88" s="1"/>
      <c r="SF88" s="1"/>
      <c r="SG88" s="1"/>
      <c r="SH88" s="1"/>
      <c r="SI88" s="1"/>
      <c r="SJ88" s="1"/>
      <c r="SK88" s="1"/>
      <c r="SL88" s="336">
        <f>ROW()</f>
        <v>88</v>
      </c>
      <c r="SM88" s="329" t="s">
        <v>964</v>
      </c>
      <c r="SN88" s="338"/>
      <c r="SO88" s="361"/>
      <c r="SP88" s="361"/>
      <c r="SQ88" s="361"/>
      <c r="SR88" s="361">
        <f>SR70+SR52+SR34+SR16</f>
        <v>890852.85999999987</v>
      </c>
      <c r="SS88" s="362">
        <f>SR88</f>
        <v>890852.85999999987</v>
      </c>
      <c r="ST88" s="362">
        <f>ST70+ST52+ST34+ST16</f>
        <v>7172742.9100000001</v>
      </c>
      <c r="SU88" s="362">
        <f>ST88+SS88</f>
        <v>8063595.7699999996</v>
      </c>
      <c r="SV88" s="362">
        <f>SV70+SV52+SV34+SV16</f>
        <v>13820341.799999999</v>
      </c>
      <c r="SW88" s="362">
        <f>SV88+SU88</f>
        <v>21883937.57</v>
      </c>
      <c r="SX88" s="362">
        <f>SX70+SX52+SX34+SX16</f>
        <v>9537740.0200000014</v>
      </c>
      <c r="SY88" s="362">
        <f>SX88+SW88</f>
        <v>31421677.590000004</v>
      </c>
      <c r="SZ88" s="362"/>
      <c r="TA88" s="362"/>
      <c r="TB88" s="576"/>
      <c r="TC88" s="576"/>
      <c r="TK88"/>
      <c r="TL88"/>
      <c r="TM88"/>
      <c r="TN88"/>
      <c r="TO88"/>
      <c r="TP88"/>
      <c r="TQ88"/>
      <c r="TR88"/>
      <c r="TS88"/>
      <c r="TT88"/>
      <c r="TU88"/>
      <c r="TV88"/>
      <c r="TW88"/>
    </row>
    <row r="89" spans="19:543" x14ac:dyDescent="0.35">
      <c r="T89" s="241"/>
      <c r="U89" s="241"/>
      <c r="V89" s="895"/>
      <c r="W89" s="895"/>
      <c r="X89" s="895"/>
      <c r="Y89" s="895"/>
      <c r="Z89" s="895"/>
      <c r="AA89" s="341"/>
      <c r="AB89" s="341"/>
      <c r="AC89" s="341"/>
      <c r="AD89" s="341"/>
      <c r="AE89" s="341"/>
      <c r="AF89" s="341"/>
      <c r="AG89" s="868"/>
      <c r="AH89" s="868"/>
      <c r="AI89" s="868"/>
      <c r="AJ89" s="868"/>
      <c r="AL89"/>
      <c r="AM89"/>
      <c r="AN89"/>
      <c r="AO89"/>
      <c r="AP89"/>
      <c r="AQ89"/>
      <c r="AR89"/>
      <c r="AS89"/>
      <c r="AT89"/>
      <c r="AU89"/>
      <c r="AV89"/>
      <c r="AW89"/>
      <c r="AX89"/>
      <c r="AY89"/>
      <c r="AZ89"/>
      <c r="BA89"/>
      <c r="BB89"/>
      <c r="BD89"/>
      <c r="BE89"/>
      <c r="BF89"/>
      <c r="BG89"/>
      <c r="BH89"/>
      <c r="BI89"/>
      <c r="BJ89"/>
      <c r="BK89"/>
      <c r="BL89"/>
      <c r="BM89"/>
      <c r="BN89"/>
      <c r="BO89"/>
      <c r="BP89"/>
      <c r="BQ89"/>
      <c r="BR89"/>
      <c r="BS89"/>
      <c r="BT89"/>
      <c r="BV89"/>
      <c r="BW89"/>
      <c r="BX89"/>
      <c r="BY89"/>
      <c r="BZ89"/>
      <c r="CA89"/>
      <c r="CB89"/>
      <c r="IS89"/>
      <c r="IT89"/>
      <c r="IU89"/>
      <c r="IV89"/>
      <c r="IW89"/>
      <c r="IX89"/>
      <c r="IY89"/>
      <c r="IZ89"/>
      <c r="JK89"/>
      <c r="JL89"/>
      <c r="JM89"/>
      <c r="JN89"/>
      <c r="JO89"/>
      <c r="JP89"/>
      <c r="JQ89"/>
      <c r="JR89"/>
      <c r="JS89"/>
      <c r="JT89"/>
      <c r="JU89"/>
      <c r="JV89"/>
      <c r="JW89"/>
      <c r="NP89" s="397"/>
      <c r="OW89"/>
      <c r="OX89"/>
      <c r="OY89"/>
      <c r="OZ89"/>
      <c r="PA89"/>
      <c r="PB89" s="593"/>
      <c r="PC89" s="593"/>
      <c r="PD89" s="593"/>
      <c r="PE89" s="593"/>
      <c r="PF89" s="593"/>
      <c r="PG89" s="593"/>
      <c r="PH89" s="593"/>
      <c r="PI89" s="593"/>
      <c r="PJ89" s="593"/>
      <c r="PK89" s="593"/>
      <c r="PL89"/>
      <c r="PM89"/>
      <c r="PN89"/>
      <c r="PO89"/>
      <c r="PP89"/>
      <c r="PR89"/>
      <c r="PS89"/>
      <c r="PT89"/>
      <c r="PU89"/>
      <c r="PV89"/>
      <c r="PW89"/>
      <c r="PX89"/>
      <c r="PY89"/>
      <c r="PZ89"/>
      <c r="QA89"/>
      <c r="QB89"/>
      <c r="QC89"/>
      <c r="QD89"/>
      <c r="QE89"/>
      <c r="QF89"/>
      <c r="QG89"/>
      <c r="QH89"/>
      <c r="RY89" s="1"/>
      <c r="RZ89" s="1"/>
      <c r="SA89" s="1"/>
      <c r="SB89" s="1"/>
      <c r="SC89" s="1"/>
      <c r="SD89" s="1"/>
      <c r="SE89" s="1"/>
      <c r="SF89" s="1"/>
      <c r="SG89" s="1"/>
      <c r="SH89" s="1"/>
      <c r="SI89" s="1"/>
      <c r="SJ89" s="1"/>
      <c r="SK89" s="1"/>
      <c r="SL89" s="336">
        <f>ROW()</f>
        <v>89</v>
      </c>
      <c r="SM89" s="329" t="s">
        <v>963</v>
      </c>
      <c r="SN89" s="338"/>
      <c r="SO89" s="265"/>
      <c r="SP89" s="265"/>
      <c r="SQ89" s="265"/>
      <c r="SR89" s="265">
        <f>SR71+SR53+SR35+SR17</f>
        <v>62919.295219999993</v>
      </c>
      <c r="SS89" s="356">
        <f>SR89</f>
        <v>62919.295219999993</v>
      </c>
      <c r="ST89" s="356">
        <f>ST71+ST53+ST35+ST17</f>
        <v>1452147.227775</v>
      </c>
      <c r="SU89" s="356">
        <f>ST89+SS89</f>
        <v>1515066.522995</v>
      </c>
      <c r="SV89" s="356">
        <f>SV71+SV53+SV35+SV17</f>
        <v>1719663.4968349996</v>
      </c>
      <c r="SW89" s="356">
        <f>SV89+SU89</f>
        <v>3234730.0198299997</v>
      </c>
      <c r="SX89" s="356">
        <f>SX71+SX53+SX35+SX17</f>
        <v>1541138.9825850003</v>
      </c>
      <c r="SY89" s="356">
        <f>SX89+SW89</f>
        <v>4775869.0024149995</v>
      </c>
      <c r="SZ89" s="356"/>
      <c r="TA89" s="356"/>
      <c r="TB89" s="525"/>
      <c r="TC89" s="525"/>
      <c r="TK89"/>
      <c r="TL89"/>
      <c r="TM89"/>
      <c r="TN89"/>
      <c r="TO89"/>
      <c r="TP89"/>
      <c r="TQ89"/>
      <c r="TR89"/>
      <c r="TS89"/>
      <c r="TT89"/>
      <c r="TU89"/>
      <c r="TV89"/>
      <c r="TW89"/>
    </row>
    <row r="90" spans="19:543" x14ac:dyDescent="0.35">
      <c r="T90" s="241"/>
      <c r="U90" s="241"/>
      <c r="V90" s="895"/>
      <c r="W90" s="895"/>
      <c r="X90" s="895"/>
      <c r="Y90" s="895"/>
      <c r="Z90" s="895"/>
      <c r="AA90" s="341"/>
      <c r="AB90" s="341"/>
      <c r="AC90" s="341"/>
      <c r="AD90" s="341"/>
      <c r="AE90" s="341"/>
      <c r="AF90" s="341"/>
      <c r="AG90" s="868"/>
      <c r="AH90" s="868"/>
      <c r="AI90" s="868"/>
      <c r="AJ90" s="868"/>
      <c r="AL90"/>
      <c r="AM90"/>
      <c r="AN90"/>
      <c r="AO90"/>
      <c r="AP90"/>
      <c r="AQ90"/>
      <c r="AR90"/>
      <c r="AS90"/>
      <c r="AT90"/>
      <c r="AU90"/>
      <c r="AV90"/>
      <c r="AW90"/>
      <c r="AX90"/>
      <c r="AY90"/>
      <c r="AZ90"/>
      <c r="BA90"/>
      <c r="BB90"/>
      <c r="BD90"/>
      <c r="BE90"/>
      <c r="BF90"/>
      <c r="BG90"/>
      <c r="BH90"/>
      <c r="BI90"/>
      <c r="BJ90"/>
      <c r="BK90"/>
      <c r="BL90"/>
      <c r="BM90"/>
      <c r="BN90"/>
      <c r="BO90"/>
      <c r="BP90"/>
      <c r="BQ90"/>
      <c r="BR90"/>
      <c r="BS90"/>
      <c r="BT90"/>
      <c r="BV90"/>
      <c r="BW90"/>
      <c r="BX90"/>
      <c r="BY90"/>
      <c r="BZ90"/>
      <c r="CA90"/>
      <c r="CB90"/>
      <c r="IS90"/>
      <c r="IT90"/>
      <c r="IU90"/>
      <c r="IV90"/>
      <c r="IW90"/>
      <c r="IX90"/>
      <c r="IY90"/>
      <c r="IZ90"/>
      <c r="JK90"/>
      <c r="JL90"/>
      <c r="JM90"/>
      <c r="JN90"/>
      <c r="JO90"/>
      <c r="JP90"/>
      <c r="JQ90"/>
      <c r="JR90"/>
      <c r="JS90"/>
      <c r="JT90"/>
      <c r="JU90"/>
      <c r="JV90"/>
      <c r="JW90"/>
      <c r="NP90" s="397"/>
      <c r="OW90"/>
      <c r="OX90"/>
      <c r="OY90"/>
      <c r="OZ90"/>
      <c r="PA90"/>
      <c r="PB90" s="593"/>
      <c r="PC90" s="593"/>
      <c r="PD90" s="593"/>
      <c r="PE90" s="593"/>
      <c r="PF90" s="593"/>
      <c r="PG90" s="593"/>
      <c r="PH90" s="593"/>
      <c r="PI90" s="593"/>
      <c r="PJ90" s="593"/>
      <c r="PK90" s="593"/>
      <c r="PL90"/>
      <c r="PM90"/>
      <c r="PN90"/>
      <c r="PO90"/>
      <c r="PP90"/>
      <c r="PR90"/>
      <c r="PS90"/>
      <c r="PT90"/>
      <c r="PU90"/>
      <c r="PV90"/>
      <c r="PW90"/>
      <c r="PX90"/>
      <c r="PY90"/>
      <c r="PZ90"/>
      <c r="QA90"/>
      <c r="QB90"/>
      <c r="QC90"/>
      <c r="QD90"/>
      <c r="QE90"/>
      <c r="QF90"/>
      <c r="QG90"/>
      <c r="QH90"/>
      <c r="RY90" s="1"/>
      <c r="RZ90" s="1"/>
      <c r="SA90" s="1"/>
      <c r="SB90" s="1"/>
      <c r="SC90" s="1"/>
      <c r="SD90" s="1"/>
      <c r="SE90" s="1"/>
      <c r="SF90" s="1"/>
      <c r="SG90" s="1"/>
      <c r="SH90" s="1"/>
      <c r="SI90" s="1"/>
      <c r="SJ90" s="1"/>
      <c r="SK90" s="1"/>
      <c r="SL90" s="336">
        <f>ROW()</f>
        <v>90</v>
      </c>
      <c r="SM90" s="329" t="s">
        <v>962</v>
      </c>
      <c r="SN90" s="338"/>
      <c r="SO90" s="265"/>
      <c r="SP90" s="265"/>
      <c r="SQ90" s="265"/>
      <c r="SR90" s="265">
        <f>SR72+SR54+SR36+SR18</f>
        <v>64451.28</v>
      </c>
      <c r="SS90" s="356">
        <f>SR90</f>
        <v>64451.28</v>
      </c>
      <c r="ST90" s="356">
        <f>ST72+ST54+ST36+ST18</f>
        <v>1279387.8199999998</v>
      </c>
      <c r="SU90" s="356">
        <f>ST90+SS90</f>
        <v>1343839.0999999999</v>
      </c>
      <c r="SV90" s="356">
        <f>SV72+SV54+SV36+SV18</f>
        <v>3143931.6999999993</v>
      </c>
      <c r="SW90" s="356">
        <f>SV90+SU90</f>
        <v>4487770.7999999989</v>
      </c>
      <c r="SX90" s="356">
        <f>SX72+SX54+SX36+SX18</f>
        <v>1881879.2100000007</v>
      </c>
      <c r="SY90" s="356">
        <f>SX90+SW90</f>
        <v>6369650.0099999998</v>
      </c>
      <c r="SZ90" s="356"/>
      <c r="TA90" s="356"/>
      <c r="TB90" s="525"/>
      <c r="TC90" s="525"/>
      <c r="TK90"/>
      <c r="TL90"/>
      <c r="TM90"/>
      <c r="TN90"/>
      <c r="TO90"/>
      <c r="TP90"/>
      <c r="TQ90"/>
      <c r="TR90"/>
      <c r="TS90"/>
      <c r="TT90"/>
      <c r="TU90"/>
      <c r="TV90"/>
      <c r="TW90"/>
    </row>
    <row r="91" spans="19:543" x14ac:dyDescent="0.35">
      <c r="T91" s="241"/>
      <c r="U91" s="241"/>
      <c r="V91" s="895"/>
      <c r="W91" s="895"/>
      <c r="X91" s="895"/>
      <c r="Y91" s="895"/>
      <c r="Z91" s="895"/>
      <c r="AA91" s="341"/>
      <c r="AB91" s="341"/>
      <c r="AC91" s="341"/>
      <c r="AD91" s="341"/>
      <c r="AE91" s="341"/>
      <c r="AF91" s="341"/>
      <c r="AG91" s="868"/>
      <c r="AH91" s="868"/>
      <c r="AI91" s="868"/>
      <c r="AJ91" s="868"/>
      <c r="AL91"/>
      <c r="AM91"/>
      <c r="AN91"/>
      <c r="AO91"/>
      <c r="AP91"/>
      <c r="AQ91"/>
      <c r="AR91"/>
      <c r="AS91"/>
      <c r="AT91"/>
      <c r="AU91"/>
      <c r="AV91"/>
      <c r="AW91"/>
      <c r="AX91"/>
      <c r="AY91"/>
      <c r="AZ91"/>
      <c r="BA91"/>
      <c r="BB91"/>
      <c r="BD91"/>
      <c r="BE91"/>
      <c r="BF91"/>
      <c r="BG91"/>
      <c r="BH91"/>
      <c r="BI91"/>
      <c r="BJ91"/>
      <c r="BK91"/>
      <c r="BL91"/>
      <c r="BM91"/>
      <c r="BN91"/>
      <c r="BO91"/>
      <c r="BP91"/>
      <c r="BQ91"/>
      <c r="BR91"/>
      <c r="BS91"/>
      <c r="BT91"/>
      <c r="BV91"/>
      <c r="BW91"/>
      <c r="BX91"/>
      <c r="BY91"/>
      <c r="BZ91"/>
      <c r="CA91"/>
      <c r="CB91"/>
      <c r="IS91"/>
      <c r="IT91"/>
      <c r="IU91"/>
      <c r="IV91"/>
      <c r="IW91"/>
      <c r="IX91"/>
      <c r="IY91"/>
      <c r="IZ91"/>
      <c r="JK91"/>
      <c r="JL91"/>
      <c r="JM91"/>
      <c r="JN91"/>
      <c r="JO91"/>
      <c r="JP91"/>
      <c r="JQ91"/>
      <c r="JR91"/>
      <c r="JS91"/>
      <c r="JT91"/>
      <c r="JU91"/>
      <c r="JV91"/>
      <c r="JW91"/>
      <c r="NP91" s="397"/>
      <c r="OW91"/>
      <c r="OX91"/>
      <c r="OY91"/>
      <c r="OZ91"/>
      <c r="PA91"/>
      <c r="PB91" s="593"/>
      <c r="PC91" s="593"/>
      <c r="PD91" s="593"/>
      <c r="PE91" s="593"/>
      <c r="PF91" s="593"/>
      <c r="PG91" s="593"/>
      <c r="PH91" s="593"/>
      <c r="PI91" s="593"/>
      <c r="PJ91" s="593"/>
      <c r="PK91" s="593"/>
      <c r="PL91"/>
      <c r="PM91"/>
      <c r="PN91"/>
      <c r="PO91"/>
      <c r="PP91"/>
      <c r="PR91"/>
      <c r="PS91"/>
      <c r="PT91"/>
      <c r="PU91"/>
      <c r="PV91"/>
      <c r="PW91"/>
      <c r="PX91"/>
      <c r="PY91"/>
      <c r="PZ91"/>
      <c r="QA91"/>
      <c r="QB91"/>
      <c r="QC91"/>
      <c r="QD91"/>
      <c r="QE91"/>
      <c r="QF91"/>
      <c r="QG91"/>
      <c r="QH91"/>
      <c r="RY91" s="1"/>
      <c r="RZ91" s="1"/>
      <c r="SA91" s="1"/>
      <c r="SB91" s="1"/>
      <c r="SC91" s="1"/>
      <c r="SD91" s="1"/>
      <c r="SE91" s="1"/>
      <c r="SF91" s="1"/>
      <c r="SG91" s="1"/>
      <c r="SH91" s="1"/>
      <c r="SI91" s="1"/>
      <c r="SJ91" s="1"/>
      <c r="SK91" s="1"/>
      <c r="SL91" s="336">
        <f>ROW()</f>
        <v>91</v>
      </c>
      <c r="SM91" s="329" t="s">
        <v>961</v>
      </c>
      <c r="SN91" s="338"/>
      <c r="SO91" s="368"/>
      <c r="SP91" s="368"/>
      <c r="SQ91" s="368"/>
      <c r="SR91" s="368">
        <f>SR73+SR55+SR37+SR19</f>
        <v>377927.91136000003</v>
      </c>
      <c r="SS91" s="355">
        <f>SR91</f>
        <v>377927.91136000003</v>
      </c>
      <c r="ST91" s="355">
        <f>ST73+ST55+ST37+ST19</f>
        <v>5991347.6971450001</v>
      </c>
      <c r="SU91" s="355">
        <f>ST91+SS91</f>
        <v>6369275.6085050004</v>
      </c>
      <c r="SV91" s="355">
        <f>SV73+SV55+SV37+SV19</f>
        <v>6255464.474235001</v>
      </c>
      <c r="SW91" s="355">
        <f>SV91+SU91</f>
        <v>12624740.082740001</v>
      </c>
      <c r="SX91" s="355">
        <f>SX73+SX55+SX37+SX19</f>
        <v>8501429.3994199969</v>
      </c>
      <c r="SY91" s="355">
        <f>SX91+SW91</f>
        <v>21126169.482159998</v>
      </c>
      <c r="SZ91" s="355"/>
      <c r="TA91" s="355"/>
      <c r="TB91" s="575"/>
      <c r="TC91" s="575"/>
      <c r="TK91"/>
      <c r="TL91"/>
      <c r="TM91"/>
      <c r="TN91"/>
      <c r="TO91"/>
      <c r="TP91"/>
      <c r="TQ91"/>
      <c r="TR91"/>
      <c r="TS91"/>
      <c r="TT91"/>
      <c r="TU91"/>
      <c r="TV91"/>
      <c r="TW91"/>
    </row>
    <row r="92" spans="19:543" x14ac:dyDescent="0.35">
      <c r="T92" s="241"/>
      <c r="U92" s="241"/>
      <c r="V92" s="895"/>
      <c r="W92" s="895"/>
      <c r="X92" s="895"/>
      <c r="Y92" s="895"/>
      <c r="Z92" s="895"/>
      <c r="AA92" s="341"/>
      <c r="AB92" s="341"/>
      <c r="AC92" s="341"/>
      <c r="AD92" s="341"/>
      <c r="AE92" s="341"/>
      <c r="AF92" s="341"/>
      <c r="AG92" s="868"/>
      <c r="AH92" s="868"/>
      <c r="AI92" s="868"/>
      <c r="AJ92" s="868"/>
      <c r="AL92"/>
      <c r="AM92"/>
      <c r="AN92"/>
      <c r="AO92"/>
      <c r="AP92"/>
      <c r="AQ92"/>
      <c r="AR92"/>
      <c r="AS92"/>
      <c r="AT92"/>
      <c r="AU92"/>
      <c r="AV92"/>
      <c r="AW92"/>
      <c r="AX92"/>
      <c r="AY92"/>
      <c r="AZ92"/>
      <c r="BA92"/>
      <c r="BB92"/>
      <c r="BD92"/>
      <c r="BE92"/>
      <c r="BF92"/>
      <c r="BG92"/>
      <c r="BH92"/>
      <c r="BI92"/>
      <c r="BJ92"/>
      <c r="BK92"/>
      <c r="BL92"/>
      <c r="BM92"/>
      <c r="BN92"/>
      <c r="BO92"/>
      <c r="BP92"/>
      <c r="BQ92"/>
      <c r="BR92"/>
      <c r="BS92"/>
      <c r="BT92"/>
      <c r="BV92"/>
      <c r="BW92"/>
      <c r="BX92"/>
      <c r="BY92"/>
      <c r="BZ92"/>
      <c r="CA92"/>
      <c r="CB92"/>
      <c r="IS92"/>
      <c r="IT92"/>
      <c r="IU92"/>
      <c r="IV92"/>
      <c r="IW92"/>
      <c r="IX92"/>
      <c r="IY92"/>
      <c r="IZ92"/>
      <c r="JK92"/>
      <c r="JL92"/>
      <c r="JM92"/>
      <c r="JN92"/>
      <c r="JO92"/>
      <c r="JP92"/>
      <c r="JQ92"/>
      <c r="JR92"/>
      <c r="JS92"/>
      <c r="JT92"/>
      <c r="JU92"/>
      <c r="JV92"/>
      <c r="JW92"/>
      <c r="NP92" s="397"/>
      <c r="OW92"/>
      <c r="OX92"/>
      <c r="OY92"/>
      <c r="OZ92"/>
      <c r="PA92"/>
      <c r="PB92" s="593"/>
      <c r="PC92" s="593"/>
      <c r="PD92" s="593"/>
      <c r="PE92" s="593"/>
      <c r="PF92" s="593"/>
      <c r="PG92" s="593"/>
      <c r="PH92" s="593"/>
      <c r="PI92" s="593"/>
      <c r="PJ92" s="593"/>
      <c r="PK92" s="593"/>
      <c r="PL92"/>
      <c r="PM92"/>
      <c r="PN92"/>
      <c r="PO92"/>
      <c r="PP92"/>
      <c r="PR92"/>
      <c r="PS92"/>
      <c r="PT92"/>
      <c r="PU92"/>
      <c r="PV92"/>
      <c r="PW92"/>
      <c r="PX92"/>
      <c r="PY92"/>
      <c r="PZ92"/>
      <c r="QA92"/>
      <c r="QB92"/>
      <c r="QC92"/>
      <c r="QD92"/>
      <c r="QE92"/>
      <c r="QF92"/>
      <c r="QG92"/>
      <c r="QH92"/>
      <c r="RY92" s="1"/>
      <c r="RZ92" s="1"/>
      <c r="SA92" s="1"/>
      <c r="SB92" s="1"/>
      <c r="SC92" s="1"/>
      <c r="SD92" s="1"/>
      <c r="SE92" s="1"/>
      <c r="SF92" s="1"/>
      <c r="SG92" s="1"/>
      <c r="SH92" s="1"/>
      <c r="SI92" s="1"/>
      <c r="SJ92" s="1"/>
      <c r="SK92" s="1"/>
      <c r="SL92" s="336">
        <f>ROW()</f>
        <v>92</v>
      </c>
      <c r="SM92" s="329" t="s">
        <v>871</v>
      </c>
      <c r="SN92" s="338"/>
      <c r="SO92" s="356"/>
      <c r="SP92" s="356"/>
      <c r="SQ92" s="356"/>
      <c r="SR92" s="356">
        <f t="shared" ref="SR92:SY92" si="276">SUM(SR88:SR91)</f>
        <v>1396151.3465799999</v>
      </c>
      <c r="SS92" s="356">
        <f t="shared" si="276"/>
        <v>1396151.3465799999</v>
      </c>
      <c r="ST92" s="356">
        <f t="shared" si="276"/>
        <v>15895625.654920001</v>
      </c>
      <c r="SU92" s="356">
        <f t="shared" si="276"/>
        <v>17291777.001499999</v>
      </c>
      <c r="SV92" s="356">
        <f t="shared" si="276"/>
        <v>24939401.471069999</v>
      </c>
      <c r="SW92" s="356">
        <f t="shared" si="276"/>
        <v>42231178.472570002</v>
      </c>
      <c r="SX92" s="356">
        <f t="shared" si="276"/>
        <v>21462187.612004999</v>
      </c>
      <c r="SY92" s="356">
        <f t="shared" si="276"/>
        <v>63693366.084574997</v>
      </c>
      <c r="SZ92" s="356"/>
      <c r="TA92" s="356"/>
      <c r="TB92" s="525"/>
      <c r="TC92" s="525"/>
      <c r="TK92"/>
      <c r="TL92"/>
      <c r="TM92"/>
      <c r="TN92"/>
      <c r="TO92"/>
      <c r="TP92"/>
      <c r="TQ92"/>
      <c r="TR92"/>
      <c r="TS92"/>
      <c r="TT92"/>
      <c r="TU92"/>
      <c r="TV92"/>
      <c r="TW92"/>
    </row>
    <row r="93" spans="19:543" x14ac:dyDescent="0.35">
      <c r="T93" s="241"/>
      <c r="U93" s="241"/>
      <c r="V93" s="895"/>
      <c r="W93" s="895"/>
      <c r="X93" s="895"/>
      <c r="Y93" s="895"/>
      <c r="Z93" s="895"/>
      <c r="AA93" s="341"/>
      <c r="AB93" s="341"/>
      <c r="AC93" s="341"/>
      <c r="AD93" s="341"/>
      <c r="AE93" s="341"/>
      <c r="AF93" s="341"/>
      <c r="AG93" s="868"/>
      <c r="AH93" s="868"/>
      <c r="AI93" s="868"/>
      <c r="AJ93" s="868"/>
      <c r="AL93"/>
      <c r="AM93"/>
      <c r="AN93"/>
      <c r="AO93"/>
      <c r="AP93"/>
      <c r="AQ93"/>
      <c r="AR93"/>
      <c r="AS93"/>
      <c r="AT93"/>
      <c r="AU93"/>
      <c r="AV93"/>
      <c r="AW93"/>
      <c r="AX93"/>
      <c r="AY93"/>
      <c r="AZ93"/>
      <c r="BA93"/>
      <c r="BB93"/>
      <c r="BD93"/>
      <c r="BE93"/>
      <c r="BF93"/>
      <c r="BG93"/>
      <c r="BH93"/>
      <c r="BI93"/>
      <c r="BJ93"/>
      <c r="BK93"/>
      <c r="BL93"/>
      <c r="BM93"/>
      <c r="BN93"/>
      <c r="BO93"/>
      <c r="BP93"/>
      <c r="BQ93"/>
      <c r="BR93"/>
      <c r="BS93"/>
      <c r="BT93"/>
      <c r="BV93"/>
      <c r="BW93"/>
      <c r="BX93"/>
      <c r="BY93"/>
      <c r="BZ93"/>
      <c r="CA93"/>
      <c r="CB93"/>
      <c r="IS93"/>
      <c r="IT93"/>
      <c r="IU93"/>
      <c r="IV93"/>
      <c r="IW93"/>
      <c r="IX93"/>
      <c r="IY93"/>
      <c r="IZ93"/>
      <c r="JK93"/>
      <c r="JL93"/>
      <c r="JM93"/>
      <c r="JN93"/>
      <c r="JO93"/>
      <c r="JP93"/>
      <c r="JQ93"/>
      <c r="JR93"/>
      <c r="JS93"/>
      <c r="JT93"/>
      <c r="JU93"/>
      <c r="JV93"/>
      <c r="JW93"/>
      <c r="NP93" s="397"/>
      <c r="OW93"/>
      <c r="OX93"/>
      <c r="OY93"/>
      <c r="OZ93"/>
      <c r="PA93"/>
      <c r="PB93" s="593"/>
      <c r="PC93" s="593"/>
      <c r="PD93" s="593"/>
      <c r="PE93" s="593"/>
      <c r="PF93" s="593"/>
      <c r="PG93" s="593"/>
      <c r="PH93" s="593"/>
      <c r="PI93" s="593"/>
      <c r="PJ93" s="593"/>
      <c r="PK93" s="593"/>
      <c r="PL93"/>
      <c r="PM93"/>
      <c r="PN93"/>
      <c r="PO93"/>
      <c r="PP93"/>
      <c r="PR93"/>
      <c r="PS93"/>
      <c r="PT93"/>
      <c r="PU93"/>
      <c r="PV93"/>
      <c r="PW93"/>
      <c r="PX93"/>
      <c r="PY93"/>
      <c r="PZ93"/>
      <c r="QA93"/>
      <c r="QB93"/>
      <c r="QC93"/>
      <c r="QD93"/>
      <c r="QE93"/>
      <c r="QF93"/>
      <c r="QG93"/>
      <c r="QH93"/>
      <c r="RY93" s="1"/>
      <c r="RZ93" s="1"/>
      <c r="SA93" s="1"/>
      <c r="SB93" s="1"/>
      <c r="SC93" s="1"/>
      <c r="SD93" s="1"/>
      <c r="SE93" s="1"/>
      <c r="SF93" s="1"/>
      <c r="SG93" s="1"/>
      <c r="SH93" s="1"/>
      <c r="SI93" s="1"/>
      <c r="SJ93" s="1"/>
      <c r="SK93" s="1"/>
      <c r="SL93" s="336">
        <f>ROW()</f>
        <v>93</v>
      </c>
      <c r="SM93" s="329"/>
      <c r="SN93" s="338"/>
      <c r="SO93" s="356"/>
      <c r="SP93" s="356"/>
      <c r="SQ93" s="356"/>
      <c r="SR93" s="356"/>
      <c r="SS93" s="356"/>
      <c r="ST93" s="356"/>
      <c r="SU93" s="356"/>
      <c r="SV93" s="356"/>
      <c r="SW93" s="356"/>
      <c r="SX93" s="356"/>
      <c r="SY93" s="356"/>
      <c r="SZ93" s="356"/>
      <c r="TA93" s="356"/>
      <c r="TB93" s="525"/>
      <c r="TC93" s="525"/>
      <c r="TK93"/>
      <c r="TL93"/>
      <c r="TM93"/>
      <c r="TN93"/>
      <c r="TO93"/>
      <c r="TP93"/>
      <c r="TQ93"/>
      <c r="TR93"/>
      <c r="TS93"/>
      <c r="TT93"/>
      <c r="TU93"/>
      <c r="TV93"/>
      <c r="TW93"/>
    </row>
    <row r="94" spans="19:543" x14ac:dyDescent="0.35">
      <c r="T94" s="241"/>
      <c r="U94" s="241"/>
      <c r="V94" s="895"/>
      <c r="W94" s="895"/>
      <c r="X94" s="895"/>
      <c r="Y94" s="895"/>
      <c r="Z94" s="895"/>
      <c r="AA94" s="341"/>
      <c r="AB94" s="341"/>
      <c r="AC94" s="341"/>
      <c r="AD94" s="341"/>
      <c r="AE94" s="341"/>
      <c r="AF94" s="341"/>
      <c r="AG94" s="868"/>
      <c r="AH94" s="868"/>
      <c r="AI94" s="868"/>
      <c r="AJ94" s="868"/>
      <c r="AL94"/>
      <c r="AM94"/>
      <c r="AN94"/>
      <c r="AO94"/>
      <c r="AP94"/>
      <c r="AQ94"/>
      <c r="AR94"/>
      <c r="AS94"/>
      <c r="AT94"/>
      <c r="AU94"/>
      <c r="AV94"/>
      <c r="AW94"/>
      <c r="AX94"/>
      <c r="AY94"/>
      <c r="AZ94"/>
      <c r="BA94"/>
      <c r="BB94"/>
      <c r="BD94"/>
      <c r="BE94"/>
      <c r="BF94"/>
      <c r="BG94"/>
      <c r="BH94"/>
      <c r="BI94"/>
      <c r="BJ94"/>
      <c r="BK94"/>
      <c r="BL94"/>
      <c r="BM94"/>
      <c r="BN94"/>
      <c r="BO94"/>
      <c r="BP94"/>
      <c r="BQ94"/>
      <c r="BR94"/>
      <c r="BS94"/>
      <c r="BT94"/>
      <c r="BV94"/>
      <c r="BW94"/>
      <c r="BX94"/>
      <c r="BY94"/>
      <c r="BZ94"/>
      <c r="CA94"/>
      <c r="CB94"/>
      <c r="IS94"/>
      <c r="IT94"/>
      <c r="IU94"/>
      <c r="IV94"/>
      <c r="IW94"/>
      <c r="IX94"/>
      <c r="IY94"/>
      <c r="IZ94"/>
      <c r="JK94"/>
      <c r="JL94"/>
      <c r="JM94"/>
      <c r="JN94"/>
      <c r="JO94"/>
      <c r="JP94"/>
      <c r="JQ94"/>
      <c r="JR94"/>
      <c r="JS94"/>
      <c r="JT94"/>
      <c r="JU94"/>
      <c r="JV94"/>
      <c r="JW94"/>
      <c r="NP94" s="397"/>
      <c r="OW94"/>
      <c r="OX94"/>
      <c r="OY94"/>
      <c r="OZ94"/>
      <c r="PA94"/>
      <c r="PB94" s="593"/>
      <c r="PC94" s="593"/>
      <c r="PD94" s="593"/>
      <c r="PE94" s="593"/>
      <c r="PF94" s="593"/>
      <c r="PG94" s="593"/>
      <c r="PH94" s="593"/>
      <c r="PI94" s="593"/>
      <c r="PJ94" s="593"/>
      <c r="PK94" s="593"/>
      <c r="PL94"/>
      <c r="PM94"/>
      <c r="PN94"/>
      <c r="PO94"/>
      <c r="PP94"/>
      <c r="PR94"/>
      <c r="PS94"/>
      <c r="PT94"/>
      <c r="PU94"/>
      <c r="PV94"/>
      <c r="PW94"/>
      <c r="PX94"/>
      <c r="PY94"/>
      <c r="PZ94"/>
      <c r="QA94"/>
      <c r="QB94"/>
      <c r="QC94"/>
      <c r="QD94"/>
      <c r="QE94"/>
      <c r="QF94"/>
      <c r="QG94"/>
      <c r="QH94"/>
      <c r="RY94" s="1"/>
      <c r="RZ94" s="1"/>
      <c r="SA94" s="1"/>
      <c r="SB94" s="1"/>
      <c r="SC94" s="1"/>
      <c r="SD94" s="1"/>
      <c r="SE94" s="1"/>
      <c r="SF94" s="1"/>
      <c r="SG94" s="1"/>
      <c r="SH94" s="1"/>
      <c r="SI94" s="1"/>
      <c r="SJ94" s="1"/>
      <c r="SK94" s="1"/>
      <c r="SL94" s="336">
        <f>ROW()</f>
        <v>94</v>
      </c>
      <c r="SM94" s="329" t="s">
        <v>274</v>
      </c>
      <c r="SN94" s="338"/>
      <c r="SO94" s="356"/>
      <c r="SP94" s="356"/>
      <c r="SQ94" s="356"/>
      <c r="SR94" s="356">
        <f t="shared" ref="SR94:SY94" si="277">SR92</f>
        <v>1396151.3465799999</v>
      </c>
      <c r="SS94" s="356">
        <f t="shared" si="277"/>
        <v>1396151.3465799999</v>
      </c>
      <c r="ST94" s="356">
        <f t="shared" si="277"/>
        <v>15895625.654920001</v>
      </c>
      <c r="SU94" s="356">
        <f t="shared" si="277"/>
        <v>17291777.001499999</v>
      </c>
      <c r="SV94" s="356">
        <f t="shared" si="277"/>
        <v>24939401.471069999</v>
      </c>
      <c r="SW94" s="356">
        <f t="shared" si="277"/>
        <v>42231178.472570002</v>
      </c>
      <c r="SX94" s="356">
        <f t="shared" si="277"/>
        <v>21462187.612004999</v>
      </c>
      <c r="SY94" s="356">
        <f t="shared" si="277"/>
        <v>63693366.084574997</v>
      </c>
      <c r="SZ94" s="356"/>
      <c r="TA94" s="356"/>
      <c r="TB94" s="525"/>
      <c r="TC94" s="525"/>
      <c r="TK94"/>
      <c r="TL94"/>
      <c r="TM94"/>
      <c r="TN94"/>
      <c r="TO94"/>
      <c r="TP94"/>
      <c r="TQ94"/>
      <c r="TR94"/>
      <c r="TS94"/>
      <c r="TT94"/>
      <c r="TU94"/>
      <c r="TV94"/>
      <c r="TW94"/>
    </row>
    <row r="95" spans="19:543" x14ac:dyDescent="0.35">
      <c r="T95" s="241"/>
      <c r="U95" s="241"/>
      <c r="V95" s="895"/>
      <c r="W95" s="895"/>
      <c r="X95" s="895"/>
      <c r="Y95" s="895"/>
      <c r="Z95" s="895"/>
      <c r="AA95" s="341"/>
      <c r="AB95" s="341"/>
      <c r="AC95" s="341"/>
      <c r="AD95" s="341"/>
      <c r="AE95" s="341"/>
      <c r="AF95" s="341"/>
      <c r="AG95" s="868"/>
      <c r="AH95" s="868"/>
      <c r="AI95" s="868"/>
      <c r="AJ95" s="868"/>
      <c r="AL95"/>
      <c r="AM95"/>
      <c r="AN95"/>
      <c r="AO95"/>
      <c r="AP95"/>
      <c r="AQ95"/>
      <c r="AR95"/>
      <c r="AS95"/>
      <c r="AT95"/>
      <c r="AU95"/>
      <c r="AV95"/>
      <c r="AW95"/>
      <c r="AX95"/>
      <c r="AY95"/>
      <c r="AZ95"/>
      <c r="BA95"/>
      <c r="BB95"/>
      <c r="BD95"/>
      <c r="BE95"/>
      <c r="BF95"/>
      <c r="BG95"/>
      <c r="BH95"/>
      <c r="BI95"/>
      <c r="BJ95"/>
      <c r="BK95"/>
      <c r="BL95"/>
      <c r="BM95"/>
      <c r="BN95"/>
      <c r="BO95"/>
      <c r="BP95"/>
      <c r="BQ95"/>
      <c r="BR95"/>
      <c r="BS95"/>
      <c r="BT95"/>
      <c r="BV95"/>
      <c r="BW95"/>
      <c r="BX95"/>
      <c r="BY95"/>
      <c r="BZ95"/>
      <c r="CA95"/>
      <c r="CB95"/>
      <c r="IS95"/>
      <c r="IT95"/>
      <c r="IU95"/>
      <c r="IV95"/>
      <c r="IW95"/>
      <c r="IX95"/>
      <c r="IY95"/>
      <c r="IZ95"/>
      <c r="JK95"/>
      <c r="JL95"/>
      <c r="JM95"/>
      <c r="JN95"/>
      <c r="JO95"/>
      <c r="JP95"/>
      <c r="JQ95"/>
      <c r="JR95"/>
      <c r="JS95"/>
      <c r="JT95"/>
      <c r="JU95"/>
      <c r="JV95"/>
      <c r="JW95"/>
      <c r="NP95" s="397"/>
      <c r="OW95"/>
      <c r="OX95"/>
      <c r="OY95"/>
      <c r="OZ95"/>
      <c r="PA95"/>
      <c r="PB95" s="593"/>
      <c r="PC95" s="593"/>
      <c r="PD95" s="593"/>
      <c r="PE95" s="593"/>
      <c r="PF95" s="593"/>
      <c r="PG95" s="593"/>
      <c r="PH95" s="593"/>
      <c r="PI95" s="593"/>
      <c r="PJ95" s="593"/>
      <c r="PK95" s="593"/>
      <c r="PL95"/>
      <c r="PM95"/>
      <c r="PN95"/>
      <c r="PO95"/>
      <c r="PP95"/>
      <c r="PR95"/>
      <c r="PS95"/>
      <c r="PT95"/>
      <c r="PU95"/>
      <c r="PV95"/>
      <c r="PW95"/>
      <c r="PX95"/>
      <c r="PY95"/>
      <c r="PZ95"/>
      <c r="QA95"/>
      <c r="QB95"/>
      <c r="QC95"/>
      <c r="QD95"/>
      <c r="QE95"/>
      <c r="QF95"/>
      <c r="QG95"/>
      <c r="QH95"/>
      <c r="RY95" s="1"/>
      <c r="RZ95" s="1"/>
      <c r="SA95" s="1"/>
      <c r="SB95" s="1"/>
      <c r="SC95" s="1"/>
      <c r="SD95" s="1"/>
      <c r="SE95" s="1"/>
      <c r="SF95" s="1"/>
      <c r="SG95" s="1"/>
      <c r="SH95" s="1"/>
      <c r="SI95" s="1"/>
      <c r="SJ95" s="1"/>
      <c r="SK95" s="1"/>
      <c r="SL95" s="336">
        <f>ROW()</f>
        <v>95</v>
      </c>
      <c r="SM95" s="329"/>
      <c r="SN95" s="338"/>
      <c r="SO95" s="337"/>
      <c r="SP95" s="337"/>
      <c r="SQ95" s="337"/>
      <c r="SR95" s="337"/>
      <c r="SS95" s="337"/>
      <c r="ST95" s="337"/>
      <c r="SU95" s="337"/>
      <c r="SV95" s="337"/>
      <c r="SW95" s="337"/>
      <c r="SX95" s="337"/>
      <c r="SY95" s="337"/>
      <c r="SZ95" s="337"/>
      <c r="TA95" s="337"/>
      <c r="TB95" s="580"/>
      <c r="TC95" s="580"/>
      <c r="TK95"/>
      <c r="TL95"/>
      <c r="TM95"/>
      <c r="TN95"/>
      <c r="TO95"/>
      <c r="TP95"/>
      <c r="TQ95"/>
      <c r="TR95"/>
      <c r="TS95"/>
      <c r="TT95"/>
      <c r="TU95"/>
      <c r="TV95"/>
      <c r="TW95"/>
    </row>
    <row r="96" spans="19:543" x14ac:dyDescent="0.35">
      <c r="T96" s="241"/>
      <c r="U96" s="241"/>
      <c r="V96" s="895"/>
      <c r="W96" s="895"/>
      <c r="X96" s="895"/>
      <c r="Y96" s="895"/>
      <c r="Z96" s="895"/>
      <c r="AA96" s="341"/>
      <c r="AB96" s="341"/>
      <c r="AC96" s="341"/>
      <c r="AD96" s="341"/>
      <c r="AE96" s="341"/>
      <c r="AF96" s="341"/>
      <c r="AG96" s="868"/>
      <c r="AH96" s="868"/>
      <c r="AI96" s="868"/>
      <c r="AJ96" s="868"/>
      <c r="AL96"/>
      <c r="AM96"/>
      <c r="AN96"/>
      <c r="AO96"/>
      <c r="AP96"/>
      <c r="AQ96"/>
      <c r="AR96"/>
      <c r="AS96"/>
      <c r="AT96"/>
      <c r="AU96"/>
      <c r="AV96"/>
      <c r="AW96"/>
      <c r="AX96"/>
      <c r="AY96"/>
      <c r="AZ96"/>
      <c r="BA96"/>
      <c r="BB96"/>
      <c r="BD96"/>
      <c r="BE96"/>
      <c r="BF96"/>
      <c r="BG96"/>
      <c r="BH96"/>
      <c r="BI96"/>
      <c r="BJ96"/>
      <c r="BK96"/>
      <c r="BL96"/>
      <c r="BM96"/>
      <c r="BN96"/>
      <c r="BO96"/>
      <c r="BP96"/>
      <c r="BQ96"/>
      <c r="BR96"/>
      <c r="BS96"/>
      <c r="BT96"/>
      <c r="BV96"/>
      <c r="BW96"/>
      <c r="BX96"/>
      <c r="BY96"/>
      <c r="BZ96"/>
      <c r="CA96"/>
      <c r="CB96"/>
      <c r="IS96"/>
      <c r="IT96"/>
      <c r="IU96"/>
      <c r="IV96"/>
      <c r="IW96"/>
      <c r="IX96"/>
      <c r="IY96"/>
      <c r="IZ96"/>
      <c r="JK96"/>
      <c r="JL96"/>
      <c r="JM96"/>
      <c r="JN96"/>
      <c r="JO96"/>
      <c r="JP96"/>
      <c r="JQ96"/>
      <c r="JR96"/>
      <c r="JS96"/>
      <c r="JT96"/>
      <c r="JU96"/>
      <c r="JV96"/>
      <c r="JW96"/>
      <c r="NP96" s="397"/>
      <c r="OW96"/>
      <c r="OX96"/>
      <c r="OY96"/>
      <c r="OZ96"/>
      <c r="PA96"/>
      <c r="PB96" s="593"/>
      <c r="PC96" s="593"/>
      <c r="PD96" s="593"/>
      <c r="PE96" s="593"/>
      <c r="PF96" s="593"/>
      <c r="PG96" s="593"/>
      <c r="PH96" s="593"/>
      <c r="PI96" s="593"/>
      <c r="PJ96" s="593"/>
      <c r="PK96" s="593"/>
      <c r="PL96"/>
      <c r="PM96"/>
      <c r="PN96"/>
      <c r="PO96"/>
      <c r="PP96"/>
      <c r="PR96"/>
      <c r="PS96"/>
      <c r="PT96"/>
      <c r="PU96"/>
      <c r="PV96"/>
      <c r="PW96"/>
      <c r="PX96"/>
      <c r="PY96"/>
      <c r="PZ96"/>
      <c r="QA96"/>
      <c r="QB96"/>
      <c r="QC96"/>
      <c r="QD96"/>
      <c r="QE96"/>
      <c r="QF96"/>
      <c r="QG96"/>
      <c r="QH96"/>
      <c r="RY96" s="1"/>
      <c r="RZ96" s="1"/>
      <c r="SA96" s="1"/>
      <c r="SB96" s="1"/>
      <c r="SC96" s="1"/>
      <c r="SD96" s="1"/>
      <c r="SE96" s="1"/>
      <c r="SF96" s="1"/>
      <c r="SG96" s="1"/>
      <c r="SH96" s="1"/>
      <c r="SI96" s="1"/>
      <c r="SJ96" s="1"/>
      <c r="SK96" s="1"/>
      <c r="SL96" s="336">
        <f>ROW()</f>
        <v>96</v>
      </c>
      <c r="SM96" s="329" t="s">
        <v>230</v>
      </c>
      <c r="SN96" s="338">
        <v>0.21</v>
      </c>
      <c r="SO96" s="355"/>
      <c r="SP96" s="355"/>
      <c r="SQ96" s="355"/>
      <c r="SR96" s="355">
        <f t="shared" ref="SR96:SY96" si="278">SR94*-$SN$96</f>
        <v>-293191.78278179996</v>
      </c>
      <c r="SS96" s="355">
        <f t="shared" si="278"/>
        <v>-293191.78278179996</v>
      </c>
      <c r="ST96" s="355">
        <f t="shared" si="278"/>
        <v>-3338081.3875332</v>
      </c>
      <c r="SU96" s="355">
        <f t="shared" si="278"/>
        <v>-3631273.1703149998</v>
      </c>
      <c r="SV96" s="355">
        <f t="shared" si="278"/>
        <v>-5237274.3089246992</v>
      </c>
      <c r="SW96" s="355">
        <f t="shared" si="278"/>
        <v>-8868547.4792397004</v>
      </c>
      <c r="SX96" s="355">
        <f t="shared" si="278"/>
        <v>-4507059.3985210499</v>
      </c>
      <c r="SY96" s="355">
        <f t="shared" si="278"/>
        <v>-13375606.877760749</v>
      </c>
      <c r="SZ96" s="355"/>
      <c r="TA96" s="355"/>
      <c r="TB96" s="575"/>
      <c r="TC96" s="575"/>
      <c r="TK96"/>
      <c r="TL96"/>
      <c r="TM96"/>
      <c r="TN96"/>
      <c r="TO96"/>
      <c r="TP96"/>
      <c r="TQ96"/>
      <c r="TR96"/>
      <c r="TS96"/>
      <c r="TT96"/>
      <c r="TU96"/>
      <c r="TV96"/>
      <c r="TW96"/>
    </row>
    <row r="97" spans="20:543" x14ac:dyDescent="0.35">
      <c r="T97" s="241"/>
      <c r="U97" s="241"/>
      <c r="V97" s="895"/>
      <c r="W97" s="895"/>
      <c r="X97" s="895"/>
      <c r="Y97" s="895"/>
      <c r="Z97" s="895"/>
      <c r="AA97" s="341"/>
      <c r="AB97" s="341"/>
      <c r="AC97" s="341"/>
      <c r="AD97" s="341"/>
      <c r="AE97" s="341"/>
      <c r="AF97" s="341"/>
      <c r="AG97" s="868"/>
      <c r="AH97" s="868"/>
      <c r="AI97" s="868"/>
      <c r="AJ97" s="868"/>
      <c r="AL97"/>
      <c r="AM97"/>
      <c r="AN97"/>
      <c r="AO97"/>
      <c r="AP97"/>
      <c r="AQ97"/>
      <c r="AR97"/>
      <c r="AS97"/>
      <c r="AT97"/>
      <c r="AU97"/>
      <c r="AV97"/>
      <c r="AW97"/>
      <c r="AX97"/>
      <c r="AY97"/>
      <c r="AZ97"/>
      <c r="BA97"/>
      <c r="BB97"/>
      <c r="BD97"/>
      <c r="BE97"/>
      <c r="BF97"/>
      <c r="BG97"/>
      <c r="BH97"/>
      <c r="BI97"/>
      <c r="BJ97"/>
      <c r="BK97"/>
      <c r="BL97"/>
      <c r="BM97"/>
      <c r="BN97"/>
      <c r="BO97"/>
      <c r="BP97"/>
      <c r="BQ97"/>
      <c r="BR97"/>
      <c r="BS97"/>
      <c r="BT97"/>
      <c r="BV97"/>
      <c r="BW97"/>
      <c r="BX97"/>
      <c r="BY97"/>
      <c r="BZ97"/>
      <c r="CA97"/>
      <c r="CB97"/>
      <c r="IS97"/>
      <c r="IT97"/>
      <c r="IU97"/>
      <c r="IV97"/>
      <c r="IW97"/>
      <c r="IX97"/>
      <c r="IY97"/>
      <c r="IZ97"/>
      <c r="JK97"/>
      <c r="JL97"/>
      <c r="JM97"/>
      <c r="JN97"/>
      <c r="JO97"/>
      <c r="JP97"/>
      <c r="JQ97"/>
      <c r="JR97"/>
      <c r="JS97"/>
      <c r="JT97"/>
      <c r="JU97"/>
      <c r="JV97"/>
      <c r="JW97"/>
      <c r="NP97" s="397"/>
      <c r="OW97"/>
      <c r="OX97"/>
      <c r="OY97"/>
      <c r="OZ97"/>
      <c r="PA97"/>
      <c r="PB97" s="593"/>
      <c r="PC97" s="593"/>
      <c r="PD97" s="593"/>
      <c r="PE97" s="593"/>
      <c r="PF97" s="593"/>
      <c r="PG97" s="593"/>
      <c r="PH97" s="593"/>
      <c r="PI97" s="593"/>
      <c r="PJ97" s="593"/>
      <c r="PK97" s="593"/>
      <c r="PL97"/>
      <c r="PM97"/>
      <c r="PN97"/>
      <c r="PO97"/>
      <c r="PP97"/>
      <c r="PR97"/>
      <c r="PS97"/>
      <c r="PT97"/>
      <c r="PU97"/>
      <c r="PV97"/>
      <c r="PW97"/>
      <c r="PX97"/>
      <c r="PY97"/>
      <c r="PZ97"/>
      <c r="QA97"/>
      <c r="QB97"/>
      <c r="QC97"/>
      <c r="QD97"/>
      <c r="QE97"/>
      <c r="QF97"/>
      <c r="QG97"/>
      <c r="QH97"/>
      <c r="RY97" s="1"/>
      <c r="RZ97" s="1"/>
      <c r="SA97" s="1"/>
      <c r="SB97" s="1"/>
      <c r="SC97" s="1"/>
      <c r="SD97" s="1"/>
      <c r="SE97" s="1"/>
      <c r="SF97" s="1"/>
      <c r="SG97" s="1"/>
      <c r="SH97" s="1"/>
      <c r="SI97" s="1"/>
      <c r="SJ97" s="1"/>
      <c r="SK97" s="1"/>
      <c r="SL97" s="336">
        <f>ROW()</f>
        <v>97</v>
      </c>
      <c r="SM97" s="329"/>
      <c r="SN97" s="338"/>
      <c r="SO97" s="363"/>
      <c r="SP97" s="363"/>
      <c r="SQ97" s="363"/>
      <c r="SR97" s="363"/>
      <c r="SS97" s="363"/>
      <c r="ST97" s="363"/>
      <c r="SU97" s="363"/>
      <c r="SV97" s="363"/>
      <c r="SW97" s="363"/>
      <c r="SX97" s="363"/>
      <c r="SY97" s="363"/>
      <c r="SZ97" s="363"/>
      <c r="TA97" s="363"/>
      <c r="TB97" s="579"/>
      <c r="TC97" s="579"/>
      <c r="TK97"/>
      <c r="TL97"/>
      <c r="TM97"/>
      <c r="TN97"/>
      <c r="TO97"/>
      <c r="TP97"/>
      <c r="TQ97"/>
      <c r="TR97"/>
      <c r="TS97"/>
      <c r="TT97"/>
      <c r="TU97"/>
      <c r="TV97"/>
      <c r="TW97"/>
    </row>
    <row r="98" spans="20:543" ht="15" thickBot="1" x14ac:dyDescent="0.4">
      <c r="T98" s="241"/>
      <c r="U98" s="241"/>
      <c r="V98" s="895"/>
      <c r="W98" s="895"/>
      <c r="X98" s="895"/>
      <c r="Y98" s="895"/>
      <c r="Z98" s="895"/>
      <c r="AA98" s="341"/>
      <c r="AB98" s="341"/>
      <c r="AC98" s="341"/>
      <c r="AD98" s="341"/>
      <c r="AE98" s="341"/>
      <c r="AF98" s="341"/>
      <c r="AG98" s="868"/>
      <c r="AH98" s="868"/>
      <c r="AI98" s="868"/>
      <c r="AJ98" s="868"/>
      <c r="AL98"/>
      <c r="AM98"/>
      <c r="AN98"/>
      <c r="AO98"/>
      <c r="AP98"/>
      <c r="AQ98"/>
      <c r="AR98"/>
      <c r="AS98"/>
      <c r="AT98"/>
      <c r="AU98"/>
      <c r="AV98"/>
      <c r="AW98"/>
      <c r="AX98"/>
      <c r="AY98"/>
      <c r="AZ98"/>
      <c r="BA98"/>
      <c r="BB98"/>
      <c r="BD98"/>
      <c r="BE98"/>
      <c r="BF98"/>
      <c r="BG98"/>
      <c r="BH98"/>
      <c r="BI98"/>
      <c r="BJ98"/>
      <c r="BK98"/>
      <c r="BL98"/>
      <c r="BM98"/>
      <c r="BN98"/>
      <c r="BO98"/>
      <c r="BP98"/>
      <c r="BQ98"/>
      <c r="BR98"/>
      <c r="BS98"/>
      <c r="BT98"/>
      <c r="BV98"/>
      <c r="BW98"/>
      <c r="BX98"/>
      <c r="BY98"/>
      <c r="BZ98"/>
      <c r="CA98"/>
      <c r="CB98"/>
      <c r="IS98"/>
      <c r="IT98"/>
      <c r="IU98"/>
      <c r="IV98"/>
      <c r="IW98"/>
      <c r="IX98"/>
      <c r="IY98"/>
      <c r="IZ98"/>
      <c r="JK98"/>
      <c r="JL98"/>
      <c r="JM98"/>
      <c r="JN98"/>
      <c r="JO98"/>
      <c r="JP98"/>
      <c r="JQ98"/>
      <c r="JR98"/>
      <c r="JS98"/>
      <c r="JT98"/>
      <c r="JU98"/>
      <c r="JV98"/>
      <c r="JW98"/>
      <c r="NP98" s="397"/>
      <c r="OW98"/>
      <c r="OX98"/>
      <c r="OY98"/>
      <c r="OZ98"/>
      <c r="PA98"/>
      <c r="PB98" s="593"/>
      <c r="PC98" s="593"/>
      <c r="PD98" s="593"/>
      <c r="PE98" s="593"/>
      <c r="PF98" s="593"/>
      <c r="PG98" s="593"/>
      <c r="PH98" s="593"/>
      <c r="PI98" s="593"/>
      <c r="PJ98" s="593"/>
      <c r="PK98" s="593"/>
      <c r="PL98"/>
      <c r="PM98"/>
      <c r="PN98"/>
      <c r="PO98"/>
      <c r="PP98"/>
      <c r="PR98"/>
      <c r="PS98"/>
      <c r="PT98"/>
      <c r="PU98"/>
      <c r="PV98"/>
      <c r="PW98"/>
      <c r="PX98"/>
      <c r="PY98"/>
      <c r="PZ98"/>
      <c r="QA98"/>
      <c r="QB98"/>
      <c r="QC98"/>
      <c r="QD98"/>
      <c r="QE98"/>
      <c r="QF98"/>
      <c r="QG98"/>
      <c r="QH98"/>
      <c r="RY98" s="1"/>
      <c r="RZ98" s="1"/>
      <c r="SA98" s="1"/>
      <c r="SB98" s="1"/>
      <c r="SC98" s="1"/>
      <c r="SD98" s="1"/>
      <c r="SE98" s="1"/>
      <c r="SF98" s="1"/>
      <c r="SG98" s="1"/>
      <c r="SH98" s="1"/>
      <c r="SI98" s="1"/>
      <c r="SJ98" s="1"/>
      <c r="SK98" s="1"/>
      <c r="SL98" s="336">
        <f>ROW()</f>
        <v>98</v>
      </c>
      <c r="SM98" s="329" t="s">
        <v>224</v>
      </c>
      <c r="SN98" s="338"/>
      <c r="SO98" s="364"/>
      <c r="SP98" s="364"/>
      <c r="SQ98" s="364"/>
      <c r="SR98" s="364">
        <f t="shared" ref="SR98:SY98" si="279">-SR94-SR96</f>
        <v>-1102959.5637981999</v>
      </c>
      <c r="SS98" s="364">
        <f t="shared" si="279"/>
        <v>-1102959.5637981999</v>
      </c>
      <c r="ST98" s="364">
        <f t="shared" si="279"/>
        <v>-12557544.267386802</v>
      </c>
      <c r="SU98" s="364">
        <f t="shared" si="279"/>
        <v>-13660503.831185</v>
      </c>
      <c r="SV98" s="364">
        <f t="shared" si="279"/>
        <v>-19702127.162145302</v>
      </c>
      <c r="SW98" s="364">
        <f t="shared" si="279"/>
        <v>-33362630.9933303</v>
      </c>
      <c r="SX98" s="364">
        <f t="shared" si="279"/>
        <v>-16955128.213483948</v>
      </c>
      <c r="SY98" s="364">
        <f t="shared" si="279"/>
        <v>-50317759.206814244</v>
      </c>
      <c r="SZ98" s="364"/>
      <c r="TA98" s="364"/>
      <c r="TB98" s="578"/>
      <c r="TC98" s="578"/>
      <c r="TK98"/>
      <c r="TL98"/>
      <c r="TM98"/>
      <c r="TN98"/>
      <c r="TO98"/>
      <c r="TP98"/>
      <c r="TQ98"/>
      <c r="TR98"/>
      <c r="TS98"/>
      <c r="TT98"/>
      <c r="TU98"/>
      <c r="TV98"/>
      <c r="TW98"/>
    </row>
    <row r="99" spans="20:543" ht="15" thickTop="1" x14ac:dyDescent="0.35">
      <c r="T99" s="241"/>
      <c r="U99" s="241"/>
      <c r="V99" s="895"/>
      <c r="W99" s="895"/>
      <c r="X99" s="895"/>
      <c r="Y99" s="895"/>
      <c r="Z99" s="895"/>
      <c r="AA99" s="341"/>
      <c r="AB99" s="341"/>
      <c r="AC99" s="341"/>
      <c r="AD99" s="341"/>
      <c r="AE99" s="341"/>
      <c r="AF99" s="341"/>
      <c r="AG99" s="898"/>
      <c r="AH99" s="898"/>
      <c r="AI99" s="898"/>
      <c r="AJ99" s="898"/>
      <c r="AL99"/>
      <c r="AM99"/>
      <c r="AN99"/>
      <c r="AO99"/>
      <c r="AP99"/>
      <c r="AQ99"/>
      <c r="AR99"/>
      <c r="AS99"/>
      <c r="AT99"/>
      <c r="AU99"/>
      <c r="AV99"/>
      <c r="AW99"/>
      <c r="AX99"/>
      <c r="AY99"/>
      <c r="AZ99"/>
      <c r="BA99"/>
      <c r="BB99"/>
      <c r="BD99"/>
      <c r="BE99"/>
      <c r="BF99"/>
      <c r="BG99"/>
      <c r="BH99"/>
      <c r="BI99"/>
      <c r="BJ99"/>
      <c r="BK99"/>
      <c r="BL99"/>
      <c r="BM99"/>
      <c r="BN99"/>
      <c r="BO99"/>
      <c r="BP99"/>
      <c r="BQ99"/>
      <c r="BR99"/>
      <c r="BS99"/>
      <c r="BT99"/>
      <c r="BV99"/>
      <c r="BW99"/>
      <c r="BX99"/>
      <c r="BY99"/>
      <c r="BZ99"/>
      <c r="CA99"/>
      <c r="CB99"/>
      <c r="IS99"/>
      <c r="IT99"/>
      <c r="IU99"/>
      <c r="IV99"/>
      <c r="IW99"/>
      <c r="IX99"/>
      <c r="IY99"/>
      <c r="IZ99"/>
      <c r="JK99"/>
      <c r="JL99"/>
      <c r="JM99"/>
      <c r="JN99"/>
      <c r="JO99"/>
      <c r="JP99"/>
      <c r="JQ99"/>
      <c r="JR99"/>
      <c r="JS99"/>
      <c r="JT99"/>
      <c r="JU99"/>
      <c r="JV99"/>
      <c r="JW99"/>
      <c r="NP99" s="397"/>
      <c r="OW99"/>
      <c r="OX99"/>
      <c r="OY99"/>
      <c r="OZ99"/>
      <c r="PA99"/>
      <c r="PB99" s="593"/>
      <c r="PC99" s="593"/>
      <c r="PD99" s="593"/>
      <c r="PE99" s="593"/>
      <c r="PF99" s="593"/>
      <c r="PG99" s="593"/>
      <c r="PH99" s="593"/>
      <c r="PI99" s="593"/>
      <c r="PJ99" s="593"/>
      <c r="PK99" s="593"/>
      <c r="PL99"/>
      <c r="PM99"/>
      <c r="PN99"/>
      <c r="PO99"/>
      <c r="PP99"/>
      <c r="PR99"/>
      <c r="PS99"/>
      <c r="PT99"/>
      <c r="PU99"/>
      <c r="PV99"/>
      <c r="PW99"/>
      <c r="PX99"/>
      <c r="PY99"/>
      <c r="PZ99"/>
      <c r="QA99"/>
      <c r="QB99"/>
      <c r="QC99"/>
      <c r="QD99"/>
      <c r="QE99"/>
      <c r="QF99"/>
      <c r="QG99"/>
      <c r="QH99"/>
      <c r="RY99" s="1"/>
      <c r="RZ99" s="1"/>
      <c r="SA99" s="1"/>
      <c r="SB99" s="1"/>
      <c r="SC99" s="1"/>
      <c r="SD99" s="1"/>
      <c r="SE99" s="1"/>
      <c r="SF99" s="1"/>
      <c r="SG99" s="1"/>
      <c r="SH99" s="1"/>
      <c r="SI99" s="1"/>
      <c r="SJ99" s="1"/>
      <c r="SK99" s="1"/>
      <c r="SL99" s="336">
        <f>ROW()</f>
        <v>99</v>
      </c>
      <c r="SM99" s="329"/>
      <c r="SN99" s="329"/>
      <c r="SO99" s="341"/>
      <c r="SP99" s="341"/>
      <c r="SQ99" s="341"/>
      <c r="SR99" s="341"/>
      <c r="SS99" s="341"/>
      <c r="ST99" s="341"/>
      <c r="SU99" s="341"/>
      <c r="SV99" s="341"/>
      <c r="SW99" s="341"/>
      <c r="SX99" s="341"/>
      <c r="SY99" s="341"/>
      <c r="SZ99" s="341"/>
      <c r="TA99" s="341"/>
      <c r="TB99" s="577"/>
      <c r="TC99" s="577"/>
      <c r="TK99"/>
      <c r="TL99"/>
      <c r="TM99"/>
      <c r="TN99"/>
      <c r="TO99"/>
      <c r="TP99"/>
      <c r="TQ99"/>
      <c r="TR99"/>
      <c r="TS99"/>
      <c r="TT99"/>
      <c r="TU99"/>
      <c r="TV99"/>
      <c r="TW99"/>
    </row>
    <row r="100" spans="20:543" x14ac:dyDescent="0.35">
      <c r="T100" s="241"/>
      <c r="U100" s="241"/>
      <c r="V100" s="895"/>
      <c r="W100" s="895"/>
      <c r="X100" s="895"/>
      <c r="Y100" s="895"/>
      <c r="Z100" s="895"/>
      <c r="AA100" s="341"/>
      <c r="AB100" s="341"/>
      <c r="AC100" s="341"/>
      <c r="AD100" s="341"/>
      <c r="AE100" s="341"/>
      <c r="AF100" s="341"/>
      <c r="AG100" s="899"/>
      <c r="AH100" s="899"/>
      <c r="AI100" s="899"/>
      <c r="AJ100" s="899"/>
      <c r="AL100"/>
      <c r="AM100"/>
      <c r="AN100"/>
      <c r="AO100"/>
      <c r="AP100"/>
      <c r="AQ100"/>
      <c r="AR100"/>
      <c r="AS100"/>
      <c r="AT100"/>
      <c r="AU100"/>
      <c r="AV100"/>
      <c r="AW100"/>
      <c r="AX100"/>
      <c r="AY100"/>
      <c r="AZ100"/>
      <c r="BA100"/>
      <c r="BB100"/>
      <c r="BD100"/>
      <c r="BE100"/>
      <c r="BF100"/>
      <c r="BG100"/>
      <c r="BH100"/>
      <c r="BI100"/>
      <c r="BJ100"/>
      <c r="BK100"/>
      <c r="BL100"/>
      <c r="BM100"/>
      <c r="BN100"/>
      <c r="BO100"/>
      <c r="BP100"/>
      <c r="BQ100"/>
      <c r="BR100"/>
      <c r="BS100"/>
      <c r="BT100"/>
      <c r="BV100"/>
      <c r="BW100"/>
      <c r="BX100"/>
      <c r="BY100"/>
      <c r="BZ100"/>
      <c r="CA100"/>
      <c r="CB100"/>
      <c r="IS100"/>
      <c r="IT100"/>
      <c r="IU100"/>
      <c r="IV100"/>
      <c r="IW100"/>
      <c r="IX100"/>
      <c r="IY100"/>
      <c r="IZ100"/>
      <c r="JK100"/>
      <c r="JL100"/>
      <c r="JM100"/>
      <c r="JN100"/>
      <c r="JO100"/>
      <c r="JP100"/>
      <c r="JQ100"/>
      <c r="JR100"/>
      <c r="JS100"/>
      <c r="JT100"/>
      <c r="JU100"/>
      <c r="JV100"/>
      <c r="JW100"/>
      <c r="NP100" s="397"/>
      <c r="OW100"/>
      <c r="OX100"/>
      <c r="OY100"/>
      <c r="OZ100"/>
      <c r="PA100"/>
      <c r="PB100" s="593"/>
      <c r="PC100" s="593"/>
      <c r="PD100" s="593"/>
      <c r="PE100" s="593"/>
      <c r="PF100" s="593"/>
      <c r="PG100" s="593"/>
      <c r="PH100" s="593"/>
      <c r="PI100" s="593"/>
      <c r="PJ100" s="593"/>
      <c r="PK100" s="593"/>
      <c r="PL100"/>
      <c r="PM100"/>
      <c r="PN100"/>
      <c r="PO100"/>
      <c r="PP100"/>
      <c r="PR100"/>
      <c r="PS100"/>
      <c r="PT100"/>
      <c r="PU100"/>
      <c r="PV100"/>
      <c r="PW100"/>
      <c r="PX100"/>
      <c r="PY100"/>
      <c r="PZ100"/>
      <c r="QA100"/>
      <c r="QB100"/>
      <c r="QC100"/>
      <c r="QD100"/>
      <c r="QE100"/>
      <c r="QF100"/>
      <c r="QG100"/>
      <c r="QH100"/>
      <c r="RY100" s="1"/>
      <c r="RZ100" s="1"/>
      <c r="SA100" s="1"/>
      <c r="SB100" s="1"/>
      <c r="SC100" s="1"/>
      <c r="SD100" s="1"/>
      <c r="SE100" s="1"/>
      <c r="SF100" s="1"/>
      <c r="SG100" s="1"/>
      <c r="SH100" s="1"/>
      <c r="SI100" s="1"/>
      <c r="SJ100" s="1"/>
      <c r="SK100" s="1"/>
      <c r="SL100" s="336">
        <f>ROW()</f>
        <v>100</v>
      </c>
      <c r="SM100" s="329" t="s">
        <v>898</v>
      </c>
      <c r="SN100" s="329"/>
      <c r="SO100" s="362"/>
      <c r="SP100" s="362"/>
      <c r="SQ100" s="362"/>
      <c r="SR100" s="362">
        <f>SS100</f>
        <v>166566693.23082501</v>
      </c>
      <c r="SS100" s="362">
        <f>SS82+SS64+SS46+SS28</f>
        <v>166566693.23082501</v>
      </c>
      <c r="ST100" s="362">
        <f>SU100-SS100</f>
        <v>300296479.61478001</v>
      </c>
      <c r="SU100" s="362">
        <f>SU82+SU64+SU46+SU28</f>
        <v>466863172.84560502</v>
      </c>
      <c r="SV100" s="362">
        <f>SW100-SU100</f>
        <v>103553266.41225493</v>
      </c>
      <c r="SW100" s="362">
        <f>SW82+SW64+SW46+SW28</f>
        <v>570416439.25785995</v>
      </c>
      <c r="SX100" s="362">
        <f>SY100-SW100</f>
        <v>272107695.09060025</v>
      </c>
      <c r="SY100" s="362">
        <f>SY82+SY64+SY46+SY28</f>
        <v>842524134.3484602</v>
      </c>
      <c r="SZ100" s="362"/>
      <c r="TA100" s="362"/>
      <c r="TB100" s="576"/>
      <c r="TC100" s="576"/>
      <c r="TK100"/>
      <c r="TL100"/>
      <c r="TM100"/>
      <c r="TN100"/>
      <c r="TO100"/>
      <c r="TP100"/>
      <c r="TQ100"/>
      <c r="TR100"/>
      <c r="TS100"/>
      <c r="TT100"/>
      <c r="TU100"/>
      <c r="TV100"/>
      <c r="TW100"/>
    </row>
    <row r="101" spans="20:543" x14ac:dyDescent="0.35">
      <c r="T101" s="241"/>
      <c r="U101" s="241"/>
      <c r="V101" s="895"/>
      <c r="W101" s="895"/>
      <c r="X101" s="895"/>
      <c r="Y101" s="895"/>
      <c r="Z101" s="895"/>
      <c r="AA101" s="341"/>
      <c r="AB101" s="341"/>
      <c r="AC101" s="341"/>
      <c r="AD101" s="341"/>
      <c r="AE101" s="341"/>
      <c r="AF101" s="341"/>
      <c r="AG101" s="866"/>
      <c r="AH101" s="866"/>
      <c r="AI101" s="866"/>
      <c r="AJ101" s="866"/>
      <c r="AL101"/>
      <c r="AM101"/>
      <c r="AN101"/>
      <c r="AO101"/>
      <c r="AP101"/>
      <c r="AQ101"/>
      <c r="AR101"/>
      <c r="AS101"/>
      <c r="AT101"/>
      <c r="AU101"/>
      <c r="AV101"/>
      <c r="AW101"/>
      <c r="AX101"/>
      <c r="AY101"/>
      <c r="AZ101"/>
      <c r="BA101"/>
      <c r="BB101"/>
      <c r="BD101"/>
      <c r="BE101"/>
      <c r="BF101"/>
      <c r="BG101"/>
      <c r="BH101"/>
      <c r="BI101"/>
      <c r="BJ101"/>
      <c r="BK101"/>
      <c r="BL101"/>
      <c r="BM101"/>
      <c r="BN101"/>
      <c r="BO101"/>
      <c r="BP101"/>
      <c r="BQ101"/>
      <c r="BR101"/>
      <c r="BS101"/>
      <c r="BT101"/>
      <c r="BV101"/>
      <c r="BW101"/>
      <c r="BX101"/>
      <c r="BY101"/>
      <c r="BZ101"/>
      <c r="CA101"/>
      <c r="CB101"/>
      <c r="IS101"/>
      <c r="IT101"/>
      <c r="IU101"/>
      <c r="IV101"/>
      <c r="IW101"/>
      <c r="IX101"/>
      <c r="IY101"/>
      <c r="IZ101"/>
      <c r="JK101"/>
      <c r="JL101"/>
      <c r="JM101"/>
      <c r="JN101"/>
      <c r="JO101"/>
      <c r="JP101"/>
      <c r="JQ101"/>
      <c r="JR101"/>
      <c r="JS101"/>
      <c r="JT101"/>
      <c r="JU101"/>
      <c r="JV101"/>
      <c r="JW101"/>
      <c r="NP101" s="397"/>
      <c r="OW101"/>
      <c r="OX101"/>
      <c r="OY101"/>
      <c r="OZ101"/>
      <c r="PA101"/>
      <c r="PB101" s="593"/>
      <c r="PC101" s="593"/>
      <c r="PD101" s="593"/>
      <c r="PE101" s="593"/>
      <c r="PF101" s="593"/>
      <c r="PG101" s="593"/>
      <c r="PH101" s="593"/>
      <c r="PI101" s="593"/>
      <c r="PJ101" s="593"/>
      <c r="PK101" s="593"/>
      <c r="PL101"/>
      <c r="PM101"/>
      <c r="PN101"/>
      <c r="PO101"/>
      <c r="PP101"/>
      <c r="PR101"/>
      <c r="PS101"/>
      <c r="PT101"/>
      <c r="PU101"/>
      <c r="PV101"/>
      <c r="PW101"/>
      <c r="PX101"/>
      <c r="PY101"/>
      <c r="PZ101"/>
      <c r="QA101"/>
      <c r="QB101"/>
      <c r="QC101"/>
      <c r="QD101"/>
      <c r="QE101"/>
      <c r="QF101"/>
      <c r="QG101"/>
      <c r="QH101"/>
      <c r="RY101" s="1"/>
      <c r="RZ101" s="1"/>
      <c r="SA101" s="1"/>
      <c r="SB101" s="1"/>
      <c r="SC101" s="1"/>
      <c r="SD101" s="1"/>
      <c r="SE101" s="1"/>
      <c r="SF101" s="1"/>
      <c r="SG101" s="1"/>
      <c r="SH101" s="1"/>
      <c r="SI101" s="1"/>
      <c r="SJ101" s="1"/>
      <c r="SK101" s="1"/>
      <c r="SL101" s="336">
        <f>ROW()</f>
        <v>101</v>
      </c>
      <c r="SM101" s="329" t="s">
        <v>899</v>
      </c>
      <c r="SN101" s="329"/>
      <c r="SO101" s="356"/>
      <c r="SP101" s="356"/>
      <c r="SQ101" s="356"/>
      <c r="SR101" s="356">
        <f>SR83+SR65+SR47+SR29</f>
        <v>-1396151.3465799999</v>
      </c>
      <c r="SS101" s="356">
        <f>SS83+SS65+SS47+SS29</f>
        <v>-1396151.3465799999</v>
      </c>
      <c r="ST101" s="356">
        <f>ST83+ST65+ST47+ST29</f>
        <v>-17291777.001499999</v>
      </c>
      <c r="SU101" s="356">
        <f>SU83+SU65+SU47+SU29</f>
        <v>-18687928.348080002</v>
      </c>
      <c r="SV101" s="356">
        <f>SV83+SV65+SV47+SV29</f>
        <v>-19877833.495589998</v>
      </c>
      <c r="SW101" s="356">
        <f>SW83+SW65+SW47+SW29</f>
        <v>-38565761.843669996</v>
      </c>
      <c r="SX101" s="356">
        <f>SX83+SX65+SX47+SX29</f>
        <v>-53089074.836279988</v>
      </c>
      <c r="SY101" s="356">
        <f>SY83+SY65+SY47+SY29</f>
        <v>-91654836.679949999</v>
      </c>
      <c r="SZ101" s="356"/>
      <c r="TA101" s="356"/>
      <c r="TB101" s="525"/>
      <c r="TC101" s="525"/>
      <c r="TK101"/>
      <c r="TL101"/>
      <c r="TM101"/>
      <c r="TN101"/>
      <c r="TO101"/>
      <c r="TP101"/>
      <c r="TQ101"/>
      <c r="TR101"/>
      <c r="TS101"/>
      <c r="TT101"/>
      <c r="TU101"/>
      <c r="TV101"/>
      <c r="TW101"/>
    </row>
    <row r="102" spans="20:543" x14ac:dyDescent="0.35">
      <c r="T102" s="241"/>
      <c r="U102" s="241"/>
      <c r="V102" s="895"/>
      <c r="W102" s="895"/>
      <c r="X102" s="895"/>
      <c r="Y102" s="895"/>
      <c r="Z102" s="895"/>
      <c r="AA102" s="341"/>
      <c r="AB102" s="341"/>
      <c r="AC102" s="341"/>
      <c r="AD102" s="341"/>
      <c r="AE102" s="341"/>
      <c r="AF102" s="341"/>
      <c r="AG102" s="866"/>
      <c r="AH102" s="866"/>
      <c r="AI102" s="866"/>
      <c r="AJ102" s="866"/>
      <c r="AL102"/>
      <c r="AM102"/>
      <c r="AN102"/>
      <c r="AO102"/>
      <c r="AP102"/>
      <c r="AQ102"/>
      <c r="AR102"/>
      <c r="AS102"/>
      <c r="AT102"/>
      <c r="AU102"/>
      <c r="AV102"/>
      <c r="AW102"/>
      <c r="AX102"/>
      <c r="AY102"/>
      <c r="AZ102"/>
      <c r="BA102"/>
      <c r="BB102"/>
      <c r="BD102"/>
      <c r="BE102"/>
      <c r="BF102"/>
      <c r="BG102"/>
      <c r="BH102"/>
      <c r="BI102"/>
      <c r="BJ102"/>
      <c r="BK102"/>
      <c r="BL102"/>
      <c r="BM102"/>
      <c r="BN102"/>
      <c r="BO102"/>
      <c r="BP102"/>
      <c r="BQ102"/>
      <c r="BR102"/>
      <c r="BS102"/>
      <c r="BT102"/>
      <c r="BV102"/>
      <c r="BW102"/>
      <c r="BX102"/>
      <c r="BY102"/>
      <c r="BZ102"/>
      <c r="CA102"/>
      <c r="CB102"/>
      <c r="IS102"/>
      <c r="IT102"/>
      <c r="IU102"/>
      <c r="IV102"/>
      <c r="IW102"/>
      <c r="IX102"/>
      <c r="IY102"/>
      <c r="IZ102"/>
      <c r="JK102"/>
      <c r="JL102"/>
      <c r="JM102"/>
      <c r="JN102"/>
      <c r="JO102"/>
      <c r="JP102"/>
      <c r="JQ102"/>
      <c r="JR102"/>
      <c r="JS102"/>
      <c r="JT102"/>
      <c r="JU102"/>
      <c r="JV102"/>
      <c r="JW102"/>
      <c r="NP102" s="397"/>
      <c r="OW102"/>
      <c r="OX102"/>
      <c r="OY102"/>
      <c r="OZ102"/>
      <c r="PA102"/>
      <c r="PB102"/>
      <c r="PC102"/>
      <c r="PD102"/>
      <c r="PE102"/>
      <c r="PF102"/>
      <c r="PG102"/>
      <c r="PH102"/>
      <c r="PI102"/>
      <c r="PJ102"/>
      <c r="PK102"/>
      <c r="PL102"/>
      <c r="PM102"/>
      <c r="PN102"/>
      <c r="PO102"/>
      <c r="PP102"/>
      <c r="PR102"/>
      <c r="PS102"/>
      <c r="PT102"/>
      <c r="PU102"/>
      <c r="PV102"/>
      <c r="PW102"/>
      <c r="PX102"/>
      <c r="PY102"/>
      <c r="PZ102"/>
      <c r="QA102"/>
      <c r="QB102"/>
      <c r="QC102"/>
      <c r="QD102"/>
      <c r="QE102"/>
      <c r="QF102"/>
      <c r="QG102"/>
      <c r="QH102"/>
      <c r="RY102" s="1"/>
      <c r="RZ102" s="1"/>
      <c r="SA102" s="1"/>
      <c r="SB102" s="1"/>
      <c r="SC102" s="1"/>
      <c r="SD102" s="1"/>
      <c r="SE102" s="1"/>
      <c r="SF102" s="1"/>
      <c r="SG102" s="1"/>
      <c r="SH102" s="1"/>
      <c r="SI102" s="1"/>
      <c r="SJ102" s="1"/>
      <c r="SK102" s="1"/>
      <c r="SL102" s="336">
        <f>ROW()</f>
        <v>102</v>
      </c>
      <c r="SM102" s="329" t="s">
        <v>900</v>
      </c>
      <c r="SN102" s="329"/>
      <c r="SO102" s="355"/>
      <c r="SP102" s="355"/>
      <c r="SQ102" s="355"/>
      <c r="SR102" s="355">
        <f>SS102</f>
        <v>-1457035.7767850002</v>
      </c>
      <c r="SS102" s="355">
        <f>SS84+SS66+SS48+SS30</f>
        <v>-1457035.7767850002</v>
      </c>
      <c r="ST102" s="355">
        <f>SU102-SS102</f>
        <v>-4329937.0926400004</v>
      </c>
      <c r="SU102" s="355">
        <f>SU84+SU66+SU48+SU30</f>
        <v>-5786972.8694250006</v>
      </c>
      <c r="SV102" s="355">
        <f>SW102-SU102</f>
        <v>-3140237.3390549999</v>
      </c>
      <c r="SW102" s="355">
        <f>SW84+SW66+SW48+SW30</f>
        <v>-8927210.2084800005</v>
      </c>
      <c r="SX102" s="355">
        <f>SY102-SW102</f>
        <v>-7120215.9240300003</v>
      </c>
      <c r="SY102" s="355">
        <f>SY84+SY66+SY48+SY30</f>
        <v>-16047426.132510001</v>
      </c>
      <c r="SZ102" s="355"/>
      <c r="TA102" s="355"/>
      <c r="TB102" s="575"/>
      <c r="TC102" s="575"/>
      <c r="TK102"/>
      <c r="TL102"/>
      <c r="TM102"/>
      <c r="TN102"/>
      <c r="TO102"/>
      <c r="TP102"/>
      <c r="TQ102"/>
      <c r="TR102"/>
      <c r="TS102"/>
      <c r="TT102"/>
      <c r="TU102"/>
      <c r="TV102"/>
      <c r="TW102"/>
    </row>
    <row r="103" spans="20:543" ht="15" thickBot="1" x14ac:dyDescent="0.4">
      <c r="T103" s="241"/>
      <c r="U103" s="241"/>
      <c r="V103" s="895"/>
      <c r="W103" s="895"/>
      <c r="X103" s="895"/>
      <c r="Y103" s="895"/>
      <c r="Z103" s="895"/>
      <c r="AA103" s="341"/>
      <c r="AB103" s="341"/>
      <c r="AC103" s="341"/>
      <c r="AD103" s="341"/>
      <c r="AE103" s="341"/>
      <c r="AF103" s="341"/>
      <c r="AG103" s="867"/>
      <c r="AH103" s="867"/>
      <c r="AI103" s="867"/>
      <c r="AJ103" s="867"/>
      <c r="AL103"/>
      <c r="AM103"/>
      <c r="AN103"/>
      <c r="AO103"/>
      <c r="AP103"/>
      <c r="AQ103"/>
      <c r="AR103"/>
      <c r="AS103"/>
      <c r="AT103"/>
      <c r="AU103"/>
      <c r="AV103"/>
      <c r="AW103"/>
      <c r="AX103"/>
      <c r="AY103"/>
      <c r="AZ103"/>
      <c r="BA103"/>
      <c r="BB103"/>
      <c r="BD103"/>
      <c r="BE103"/>
      <c r="BF103"/>
      <c r="BG103"/>
      <c r="BH103"/>
      <c r="BI103"/>
      <c r="BJ103"/>
      <c r="BK103"/>
      <c r="BL103"/>
      <c r="BM103"/>
      <c r="BN103"/>
      <c r="BO103"/>
      <c r="BP103"/>
      <c r="BQ103"/>
      <c r="BR103"/>
      <c r="BS103"/>
      <c r="BT103"/>
      <c r="BV103"/>
      <c r="BW103"/>
      <c r="BX103"/>
      <c r="BY103"/>
      <c r="BZ103"/>
      <c r="CA103"/>
      <c r="CB103"/>
      <c r="IS103"/>
      <c r="IT103"/>
      <c r="IU103"/>
      <c r="IV103"/>
      <c r="IW103"/>
      <c r="IX103"/>
      <c r="IY103"/>
      <c r="IZ103"/>
      <c r="JK103"/>
      <c r="JL103"/>
      <c r="JM103"/>
      <c r="JN103"/>
      <c r="JO103"/>
      <c r="JP103"/>
      <c r="JQ103"/>
      <c r="JR103"/>
      <c r="JS103"/>
      <c r="JT103"/>
      <c r="JU103"/>
      <c r="JV103"/>
      <c r="JW103"/>
      <c r="NP103" s="397"/>
      <c r="OW103"/>
      <c r="OX103"/>
      <c r="OY103"/>
      <c r="OZ103"/>
      <c r="PA103"/>
      <c r="PB103"/>
      <c r="PC103"/>
      <c r="PD103"/>
      <c r="PE103"/>
      <c r="PF103"/>
      <c r="PG103"/>
      <c r="PH103"/>
      <c r="PI103"/>
      <c r="PJ103"/>
      <c r="PK103"/>
      <c r="PL103"/>
      <c r="PM103"/>
      <c r="PN103"/>
      <c r="PO103"/>
      <c r="PP103"/>
      <c r="PR103"/>
      <c r="PS103"/>
      <c r="PT103"/>
      <c r="PU103"/>
      <c r="PV103"/>
      <c r="PW103"/>
      <c r="PX103"/>
      <c r="PY103"/>
      <c r="PZ103"/>
      <c r="QA103"/>
      <c r="QB103"/>
      <c r="QC103"/>
      <c r="QD103"/>
      <c r="QE103"/>
      <c r="QF103"/>
      <c r="QG103"/>
      <c r="QH103"/>
      <c r="RY103" s="1"/>
      <c r="RZ103" s="1"/>
      <c r="SA103" s="1"/>
      <c r="SB103" s="1"/>
      <c r="SC103" s="1"/>
      <c r="SD103" s="1"/>
      <c r="SE103" s="1"/>
      <c r="SF103" s="1"/>
      <c r="SG103" s="1"/>
      <c r="SH103" s="1"/>
      <c r="SI103" s="1"/>
      <c r="SJ103" s="1"/>
      <c r="SK103" s="1"/>
      <c r="SL103" s="336">
        <f>ROW()</f>
        <v>103</v>
      </c>
      <c r="SM103" s="329" t="s">
        <v>872</v>
      </c>
      <c r="SN103" s="329"/>
      <c r="SO103" s="371"/>
      <c r="SP103" s="371"/>
      <c r="SQ103" s="371"/>
      <c r="SR103" s="371">
        <f t="shared" ref="SR103:SY103" si="280">SUM(SR100:SR102)</f>
        <v>163713506.10746002</v>
      </c>
      <c r="SS103" s="371">
        <f t="shared" si="280"/>
        <v>163713506.10746002</v>
      </c>
      <c r="ST103" s="371">
        <f t="shared" si="280"/>
        <v>278674765.52064002</v>
      </c>
      <c r="SU103" s="371">
        <f t="shared" si="280"/>
        <v>442388271.62810004</v>
      </c>
      <c r="SV103" s="371">
        <f t="shared" si="280"/>
        <v>80535195.577609926</v>
      </c>
      <c r="SW103" s="371">
        <f t="shared" si="280"/>
        <v>522923467.20570993</v>
      </c>
      <c r="SX103" s="371">
        <f t="shared" si="280"/>
        <v>211898404.33029026</v>
      </c>
      <c r="SY103" s="371">
        <f t="shared" si="280"/>
        <v>734821871.53600025</v>
      </c>
      <c r="SZ103" s="371"/>
      <c r="TA103" s="371"/>
      <c r="TB103" s="574"/>
      <c r="TC103" s="574"/>
      <c r="TK103"/>
      <c r="TL103"/>
      <c r="TM103"/>
      <c r="TN103"/>
      <c r="TO103"/>
      <c r="TP103"/>
      <c r="TQ103"/>
      <c r="TR103"/>
      <c r="TS103"/>
      <c r="TT103"/>
      <c r="TU103"/>
      <c r="TV103"/>
      <c r="TW103"/>
    </row>
    <row r="104" spans="20:543" ht="15" thickTop="1" x14ac:dyDescent="0.35">
      <c r="T104" s="241"/>
      <c r="U104" s="241"/>
      <c r="V104" s="895"/>
      <c r="W104" s="895"/>
      <c r="X104" s="895"/>
      <c r="Y104" s="895"/>
      <c r="Z104" s="895"/>
      <c r="AA104" s="341"/>
      <c r="AB104" s="341"/>
      <c r="AC104" s="341"/>
      <c r="AD104" s="341"/>
      <c r="AE104" s="341"/>
      <c r="AF104" s="341"/>
      <c r="AG104" s="867"/>
      <c r="AH104" s="867"/>
      <c r="AI104" s="867"/>
      <c r="AJ104" s="867"/>
      <c r="AL104"/>
      <c r="AM104"/>
      <c r="AN104"/>
      <c r="AO104"/>
      <c r="AP104"/>
      <c r="AQ104"/>
      <c r="AR104"/>
      <c r="AS104"/>
      <c r="AT104"/>
      <c r="AU104"/>
      <c r="AV104"/>
      <c r="AW104"/>
      <c r="AX104"/>
      <c r="AY104"/>
      <c r="AZ104"/>
      <c r="BA104"/>
      <c r="BB104"/>
      <c r="BD104"/>
      <c r="BE104"/>
      <c r="BF104"/>
      <c r="BG104"/>
      <c r="BH104"/>
      <c r="BI104"/>
      <c r="BJ104"/>
      <c r="BK104"/>
      <c r="BL104"/>
      <c r="BM104"/>
      <c r="BN104"/>
      <c r="BO104"/>
      <c r="BP104"/>
      <c r="BQ104"/>
      <c r="BR104"/>
      <c r="BS104"/>
      <c r="BT104"/>
      <c r="BV104"/>
      <c r="BW104"/>
      <c r="BX104"/>
      <c r="BY104"/>
      <c r="BZ104"/>
      <c r="CA104"/>
      <c r="CB104"/>
      <c r="IS104"/>
      <c r="IT104"/>
      <c r="IU104"/>
      <c r="IV104"/>
      <c r="IW104"/>
      <c r="IX104"/>
      <c r="IY104"/>
      <c r="IZ104"/>
      <c r="JK104"/>
      <c r="JL104"/>
      <c r="JM104"/>
      <c r="JN104"/>
      <c r="JO104"/>
      <c r="JP104"/>
      <c r="JQ104"/>
      <c r="JR104"/>
      <c r="JS104"/>
      <c r="JT104"/>
      <c r="JU104"/>
      <c r="JV104"/>
      <c r="JW104"/>
      <c r="NP104" s="397"/>
      <c r="OW104"/>
      <c r="OX104"/>
      <c r="OY104"/>
      <c r="OZ104"/>
      <c r="PA104"/>
      <c r="PB104"/>
      <c r="PC104"/>
      <c r="PD104"/>
      <c r="PE104"/>
      <c r="PF104"/>
      <c r="PG104"/>
      <c r="PH104"/>
      <c r="PI104"/>
      <c r="PJ104"/>
      <c r="PK104"/>
      <c r="PL104"/>
      <c r="PM104"/>
      <c r="PN104"/>
      <c r="PO104"/>
      <c r="PP104"/>
      <c r="PR104"/>
      <c r="PS104"/>
      <c r="PT104"/>
      <c r="PU104"/>
      <c r="PV104"/>
      <c r="PW104"/>
      <c r="PX104"/>
      <c r="PY104"/>
      <c r="PZ104"/>
      <c r="QA104"/>
      <c r="QB104"/>
      <c r="QC104"/>
      <c r="QD104"/>
      <c r="QE104"/>
      <c r="QF104"/>
      <c r="QG104"/>
      <c r="QH104"/>
      <c r="RY104" s="1"/>
      <c r="RZ104" s="1"/>
      <c r="SA104" s="1"/>
      <c r="SB104" s="1"/>
      <c r="SC104" s="1"/>
      <c r="SD104" s="1"/>
      <c r="SE104" s="1"/>
      <c r="SF104" s="1"/>
      <c r="SG104" s="1"/>
      <c r="SH104" s="1"/>
      <c r="SI104" s="1"/>
      <c r="SJ104" s="1"/>
      <c r="SK104" s="1"/>
      <c r="TK104"/>
      <c r="TL104"/>
      <c r="TM104"/>
      <c r="TN104"/>
      <c r="TO104"/>
      <c r="TP104"/>
      <c r="TQ104"/>
      <c r="TR104"/>
      <c r="TS104"/>
      <c r="TT104"/>
      <c r="TU104"/>
      <c r="TV104"/>
      <c r="TW104"/>
    </row>
    <row r="105" spans="20:543" x14ac:dyDescent="0.35">
      <c r="T105" s="241"/>
      <c r="U105" s="241"/>
      <c r="V105" s="895"/>
      <c r="W105" s="895"/>
      <c r="X105" s="895"/>
      <c r="Y105" s="895"/>
      <c r="Z105" s="895"/>
      <c r="AA105" s="341"/>
      <c r="AB105" s="341"/>
      <c r="AC105" s="341"/>
      <c r="AD105" s="341"/>
      <c r="AE105" s="341"/>
      <c r="AF105" s="341"/>
      <c r="AG105" s="867"/>
      <c r="AH105" s="867"/>
      <c r="AI105" s="867"/>
      <c r="AJ105" s="867"/>
      <c r="AL105"/>
      <c r="AM105"/>
      <c r="AN105"/>
      <c r="AO105"/>
      <c r="AP105"/>
      <c r="AQ105"/>
      <c r="AR105"/>
      <c r="AS105"/>
      <c r="AT105"/>
      <c r="AU105"/>
      <c r="AV105"/>
      <c r="AW105"/>
      <c r="AX105"/>
      <c r="AY105"/>
      <c r="AZ105"/>
      <c r="BA105"/>
      <c r="BB105"/>
      <c r="BD105"/>
      <c r="BE105"/>
      <c r="BF105"/>
      <c r="BG105"/>
      <c r="BH105"/>
      <c r="BI105"/>
      <c r="BJ105"/>
      <c r="BK105"/>
      <c r="BL105"/>
      <c r="BM105"/>
      <c r="BN105"/>
      <c r="BO105"/>
      <c r="BP105"/>
      <c r="BQ105"/>
      <c r="BR105"/>
      <c r="BS105"/>
      <c r="BT105"/>
      <c r="BV105"/>
      <c r="BW105"/>
      <c r="BX105"/>
      <c r="BY105"/>
      <c r="BZ105"/>
      <c r="CA105"/>
      <c r="CB105"/>
      <c r="IS105"/>
      <c r="IT105"/>
      <c r="IU105"/>
      <c r="IV105"/>
      <c r="IW105"/>
      <c r="IX105"/>
      <c r="IY105"/>
      <c r="IZ105"/>
      <c r="JK105"/>
      <c r="JL105"/>
      <c r="JM105"/>
      <c r="JN105"/>
      <c r="JO105"/>
      <c r="JP105"/>
      <c r="JQ105"/>
      <c r="JR105"/>
      <c r="JS105"/>
      <c r="JT105"/>
      <c r="JU105"/>
      <c r="JV105"/>
      <c r="JW105"/>
      <c r="NP105" s="397"/>
      <c r="OW105"/>
      <c r="OX105"/>
      <c r="OY105"/>
      <c r="OZ105"/>
      <c r="PA105"/>
      <c r="PB105"/>
      <c r="PC105"/>
      <c r="PD105"/>
      <c r="PE105"/>
      <c r="PF105"/>
      <c r="PG105"/>
      <c r="PH105"/>
      <c r="PI105"/>
      <c r="PJ105"/>
      <c r="PK105"/>
      <c r="PL105"/>
      <c r="PM105"/>
      <c r="PN105"/>
      <c r="PO105"/>
      <c r="PP105"/>
      <c r="PR105"/>
      <c r="PS105"/>
      <c r="PT105"/>
      <c r="PU105"/>
      <c r="PV105"/>
      <c r="PW105"/>
      <c r="PX105"/>
      <c r="PY105"/>
      <c r="PZ105"/>
      <c r="QA105"/>
      <c r="QB105"/>
      <c r="QC105"/>
      <c r="QD105"/>
      <c r="QE105"/>
      <c r="QF105"/>
      <c r="QG105"/>
      <c r="QH105"/>
      <c r="RY105" s="1"/>
      <c r="RZ105" s="1"/>
      <c r="SA105" s="1"/>
      <c r="SB105" s="1"/>
      <c r="SC105" s="1"/>
      <c r="SD105" s="1"/>
      <c r="SE105" s="1"/>
      <c r="SF105" s="1"/>
      <c r="SG105" s="1"/>
      <c r="SH105" s="1"/>
      <c r="SI105" s="1"/>
      <c r="SJ105" s="1"/>
      <c r="SK105" s="1"/>
      <c r="SM105" s="397"/>
      <c r="TK105"/>
      <c r="TL105"/>
      <c r="TM105"/>
      <c r="TN105"/>
      <c r="TO105"/>
      <c r="TP105"/>
      <c r="TQ105"/>
      <c r="TR105"/>
      <c r="TS105"/>
      <c r="TT105"/>
      <c r="TU105"/>
      <c r="TV105"/>
      <c r="TW105"/>
    </row>
    <row r="106" spans="20:543" x14ac:dyDescent="0.35">
      <c r="T106" s="241"/>
      <c r="U106" s="241"/>
      <c r="V106" s="895"/>
      <c r="W106" s="895"/>
      <c r="X106" s="895"/>
      <c r="Y106" s="895"/>
      <c r="Z106" s="895"/>
      <c r="AA106" s="341"/>
      <c r="AB106" s="341"/>
      <c r="AC106" s="341"/>
      <c r="AD106" s="341"/>
      <c r="AE106" s="341"/>
      <c r="AF106" s="341"/>
      <c r="AG106" s="899"/>
      <c r="AH106" s="899"/>
      <c r="AI106" s="899"/>
      <c r="AJ106" s="899"/>
      <c r="AL106"/>
      <c r="AM106"/>
      <c r="AN106"/>
      <c r="AO106"/>
      <c r="AP106"/>
      <c r="AQ106"/>
      <c r="AR106"/>
      <c r="AS106"/>
      <c r="AT106"/>
      <c r="AU106"/>
      <c r="AV106"/>
      <c r="AW106"/>
      <c r="AX106"/>
      <c r="AY106"/>
      <c r="AZ106"/>
      <c r="BA106"/>
      <c r="BB106"/>
      <c r="BD106"/>
      <c r="BE106"/>
      <c r="BF106"/>
      <c r="BG106"/>
      <c r="BH106"/>
      <c r="BI106"/>
      <c r="BJ106"/>
      <c r="BK106"/>
      <c r="BL106"/>
      <c r="BM106"/>
      <c r="BN106"/>
      <c r="BO106"/>
      <c r="BP106"/>
      <c r="BQ106"/>
      <c r="BR106"/>
      <c r="BS106"/>
      <c r="BT106"/>
      <c r="BV106"/>
      <c r="BW106"/>
      <c r="BX106"/>
      <c r="BY106"/>
      <c r="BZ106"/>
      <c r="CA106"/>
      <c r="CB106"/>
      <c r="IS106"/>
      <c r="IT106"/>
      <c r="IU106"/>
      <c r="IV106"/>
      <c r="IW106"/>
      <c r="IX106"/>
      <c r="IY106"/>
      <c r="IZ106"/>
      <c r="JK106"/>
      <c r="JL106"/>
      <c r="JM106"/>
      <c r="JN106"/>
      <c r="JO106"/>
      <c r="JP106"/>
      <c r="JQ106"/>
      <c r="JR106"/>
      <c r="JS106"/>
      <c r="JT106"/>
      <c r="JU106"/>
      <c r="JV106"/>
      <c r="JW106"/>
      <c r="NP106" s="397"/>
      <c r="OW106"/>
      <c r="OX106"/>
      <c r="OY106"/>
      <c r="OZ106"/>
      <c r="PA106"/>
      <c r="PB106"/>
      <c r="PC106"/>
      <c r="PD106"/>
      <c r="PE106"/>
      <c r="PF106"/>
      <c r="PG106"/>
      <c r="PH106"/>
      <c r="PI106"/>
      <c r="PJ106"/>
      <c r="PK106"/>
      <c r="PL106"/>
      <c r="PM106"/>
      <c r="PN106"/>
      <c r="PO106"/>
      <c r="PP106"/>
      <c r="PR106"/>
      <c r="PS106"/>
      <c r="PT106"/>
      <c r="PU106"/>
      <c r="PV106"/>
      <c r="PW106"/>
      <c r="PX106"/>
      <c r="PY106"/>
      <c r="PZ106"/>
      <c r="QA106"/>
      <c r="QB106"/>
      <c r="QC106"/>
      <c r="QD106"/>
      <c r="QE106"/>
      <c r="QF106"/>
      <c r="QG106"/>
      <c r="QH106"/>
      <c r="RY106" s="1"/>
      <c r="RZ106" s="1"/>
      <c r="SA106" s="1"/>
      <c r="SB106" s="1"/>
      <c r="SC106" s="1"/>
      <c r="SD106" s="1"/>
      <c r="SE106" s="1"/>
      <c r="SF106" s="1"/>
      <c r="SG106" s="1"/>
      <c r="SH106" s="1"/>
      <c r="SI106" s="1"/>
      <c r="SJ106" s="1"/>
      <c r="SK106" s="1"/>
      <c r="TK106"/>
      <c r="TL106"/>
      <c r="TM106"/>
      <c r="TN106"/>
      <c r="TO106"/>
      <c r="TP106"/>
      <c r="TQ106"/>
      <c r="TR106"/>
      <c r="TS106"/>
      <c r="TT106"/>
      <c r="TU106"/>
      <c r="TV106"/>
      <c r="TW106"/>
    </row>
    <row r="107" spans="20:543" x14ac:dyDescent="0.35">
      <c r="T107" s="241"/>
      <c r="U107" s="241"/>
      <c r="V107" s="895"/>
      <c r="W107" s="895"/>
      <c r="X107" s="895"/>
      <c r="Y107" s="895"/>
      <c r="Z107" s="895"/>
      <c r="AA107" s="341"/>
      <c r="AB107" s="341"/>
      <c r="AC107" s="341"/>
      <c r="AD107" s="341"/>
      <c r="AE107" s="341"/>
      <c r="AF107" s="341"/>
      <c r="AG107" s="866"/>
      <c r="AH107" s="866"/>
      <c r="AI107" s="866"/>
      <c r="AJ107" s="866"/>
      <c r="AL107"/>
      <c r="AM107"/>
      <c r="AN107"/>
      <c r="AO107"/>
      <c r="AP107"/>
      <c r="AQ107"/>
      <c r="AR107"/>
      <c r="AS107"/>
      <c r="AT107"/>
      <c r="AU107"/>
      <c r="AV107"/>
      <c r="AW107"/>
      <c r="AX107"/>
      <c r="AY107"/>
      <c r="AZ107"/>
      <c r="BA107"/>
      <c r="BB107"/>
      <c r="BD107"/>
      <c r="BE107"/>
      <c r="BF107"/>
      <c r="BG107"/>
      <c r="BH107"/>
      <c r="BI107"/>
      <c r="BJ107"/>
      <c r="BK107"/>
      <c r="BL107"/>
      <c r="BM107"/>
      <c r="BN107"/>
      <c r="BO107"/>
      <c r="BP107"/>
      <c r="BQ107"/>
      <c r="BR107"/>
      <c r="BS107"/>
      <c r="BT107"/>
      <c r="BV107"/>
      <c r="BW107"/>
      <c r="BX107"/>
      <c r="BY107"/>
      <c r="BZ107"/>
      <c r="CA107"/>
      <c r="CB107"/>
      <c r="IS107"/>
      <c r="IT107"/>
      <c r="IU107"/>
      <c r="IV107"/>
      <c r="IW107"/>
      <c r="IX107"/>
      <c r="IY107"/>
      <c r="IZ107"/>
      <c r="JK107"/>
      <c r="JL107"/>
      <c r="JM107"/>
      <c r="JN107"/>
      <c r="JO107"/>
      <c r="JP107"/>
      <c r="JQ107"/>
      <c r="JR107"/>
      <c r="JS107"/>
      <c r="JT107"/>
      <c r="JU107"/>
      <c r="JV107"/>
      <c r="JW107"/>
      <c r="NP107" s="397"/>
      <c r="OW107"/>
      <c r="OX107"/>
      <c r="OY107"/>
      <c r="OZ107"/>
      <c r="PA107"/>
      <c r="PB107"/>
      <c r="PC107"/>
      <c r="PD107"/>
      <c r="PE107"/>
      <c r="PF107"/>
      <c r="PG107"/>
      <c r="PH107"/>
      <c r="PI107"/>
      <c r="PJ107"/>
      <c r="PK107"/>
      <c r="PL107"/>
      <c r="PM107"/>
      <c r="PN107"/>
      <c r="PO107"/>
      <c r="PP107"/>
      <c r="RY107" s="1"/>
      <c r="RZ107" s="1"/>
      <c r="SA107" s="1"/>
      <c r="SB107" s="1"/>
      <c r="SC107" s="1"/>
      <c r="SD107" s="1"/>
      <c r="SE107" s="1"/>
      <c r="SF107" s="1"/>
      <c r="SG107" s="1"/>
      <c r="SH107" s="1"/>
      <c r="SI107" s="1"/>
      <c r="SJ107" s="1"/>
      <c r="SK107" s="1"/>
      <c r="SZ107" s="572"/>
      <c r="TA107" s="572"/>
      <c r="TB107" s="572" t="s">
        <v>340</v>
      </c>
      <c r="TC107" s="572" t="s">
        <v>341</v>
      </c>
      <c r="TK107"/>
      <c r="TL107"/>
      <c r="TM107"/>
      <c r="TN107"/>
      <c r="TO107"/>
      <c r="TP107"/>
      <c r="TQ107"/>
      <c r="TR107"/>
      <c r="TS107"/>
      <c r="TT107"/>
      <c r="TU107"/>
      <c r="TV107"/>
      <c r="TW107"/>
    </row>
    <row r="108" spans="20:543" x14ac:dyDescent="0.35">
      <c r="T108" s="241"/>
      <c r="U108" s="241"/>
      <c r="V108" s="895"/>
      <c r="W108" s="895"/>
      <c r="X108" s="895"/>
      <c r="Y108" s="895"/>
      <c r="Z108" s="895"/>
      <c r="AA108" s="341"/>
      <c r="AB108" s="341"/>
      <c r="AC108" s="341"/>
      <c r="AD108" s="341"/>
      <c r="AE108" s="341"/>
      <c r="AF108" s="341"/>
      <c r="AG108" s="866"/>
      <c r="AH108" s="866"/>
      <c r="AI108" s="866"/>
      <c r="AJ108" s="866"/>
      <c r="AL108"/>
      <c r="AM108"/>
      <c r="AN108"/>
      <c r="AO108"/>
      <c r="AP108"/>
      <c r="AQ108"/>
      <c r="AR108"/>
      <c r="AS108"/>
      <c r="AT108"/>
      <c r="AU108"/>
      <c r="AV108"/>
      <c r="AW108"/>
      <c r="AX108"/>
      <c r="AY108"/>
      <c r="AZ108"/>
      <c r="BA108"/>
      <c r="BB108"/>
      <c r="BD108"/>
      <c r="BE108"/>
      <c r="BF108"/>
      <c r="BG108"/>
      <c r="BH108"/>
      <c r="BI108"/>
      <c r="BJ108"/>
      <c r="BK108"/>
      <c r="BL108"/>
      <c r="BM108"/>
      <c r="BN108"/>
      <c r="BO108"/>
      <c r="BP108"/>
      <c r="BQ108"/>
      <c r="BR108"/>
      <c r="BS108"/>
      <c r="BT108"/>
      <c r="BV108"/>
      <c r="BW108"/>
      <c r="BX108"/>
      <c r="BY108"/>
      <c r="BZ108"/>
      <c r="CA108"/>
      <c r="CB108"/>
      <c r="IS108"/>
      <c r="IT108"/>
      <c r="IU108"/>
      <c r="IV108"/>
      <c r="IW108"/>
      <c r="IX108"/>
      <c r="IY108"/>
      <c r="IZ108"/>
      <c r="JK108"/>
      <c r="JL108"/>
      <c r="JM108"/>
      <c r="JN108"/>
      <c r="JO108"/>
      <c r="JP108"/>
      <c r="JQ108"/>
      <c r="JR108"/>
      <c r="JS108"/>
      <c r="JT108"/>
      <c r="JU108"/>
      <c r="JV108"/>
      <c r="JW108"/>
      <c r="NP108" s="397"/>
      <c r="OW108"/>
      <c r="OX108"/>
      <c r="OY108"/>
      <c r="OZ108"/>
      <c r="PA108"/>
      <c r="PB108"/>
      <c r="PC108"/>
      <c r="PD108"/>
      <c r="PE108"/>
      <c r="PF108"/>
      <c r="PG108"/>
      <c r="PH108"/>
      <c r="PI108"/>
      <c r="PJ108"/>
      <c r="PK108"/>
      <c r="PL108"/>
      <c r="PM108"/>
      <c r="PN108"/>
      <c r="PO108"/>
      <c r="PP108"/>
      <c r="RY108" s="1"/>
      <c r="RZ108" s="1"/>
      <c r="SA108" s="1"/>
      <c r="SB108" s="1"/>
      <c r="SC108" s="1"/>
      <c r="SD108" s="1"/>
      <c r="SE108" s="1"/>
      <c r="SF108" s="1"/>
      <c r="SG108" s="1"/>
      <c r="SH108" s="1"/>
      <c r="SI108" s="1"/>
      <c r="SJ108" s="1"/>
      <c r="SK108" s="1"/>
      <c r="SZ108" s="571"/>
      <c r="TA108" s="571"/>
      <c r="TB108" s="571">
        <v>2025</v>
      </c>
      <c r="TC108" s="570" t="s">
        <v>12</v>
      </c>
      <c r="TK108"/>
      <c r="TL108"/>
      <c r="TM108"/>
      <c r="TN108"/>
      <c r="TO108"/>
      <c r="TP108"/>
      <c r="TQ108"/>
      <c r="TR108"/>
      <c r="TS108"/>
      <c r="TT108"/>
      <c r="TU108"/>
      <c r="TV108"/>
      <c r="TW108"/>
    </row>
    <row r="109" spans="20:543" x14ac:dyDescent="0.35">
      <c r="T109" s="241"/>
      <c r="U109" s="241"/>
      <c r="V109" s="895"/>
      <c r="W109" s="895"/>
      <c r="X109" s="895"/>
      <c r="Y109" s="895"/>
      <c r="Z109" s="895"/>
      <c r="AA109" s="341"/>
      <c r="AB109" s="341"/>
      <c r="AC109" s="341"/>
      <c r="AD109" s="341"/>
      <c r="AE109" s="341"/>
      <c r="AF109" s="341"/>
      <c r="AG109" s="866"/>
      <c r="AH109" s="866"/>
      <c r="AI109" s="866"/>
      <c r="AJ109" s="866"/>
      <c r="AL109"/>
      <c r="AM109"/>
      <c r="AN109"/>
      <c r="AO109"/>
      <c r="AP109"/>
      <c r="AQ109"/>
      <c r="AR109"/>
      <c r="AS109"/>
      <c r="AT109"/>
      <c r="AU109"/>
      <c r="AV109"/>
      <c r="AW109"/>
      <c r="AX109"/>
      <c r="AY109"/>
      <c r="AZ109"/>
      <c r="BA109"/>
      <c r="BB109"/>
      <c r="BD109"/>
      <c r="BE109"/>
      <c r="BF109"/>
      <c r="BG109"/>
      <c r="BH109"/>
      <c r="BI109"/>
      <c r="BJ109"/>
      <c r="BK109"/>
      <c r="BL109"/>
      <c r="BM109"/>
      <c r="BN109"/>
      <c r="BO109"/>
      <c r="BP109"/>
      <c r="BQ109"/>
      <c r="BR109"/>
      <c r="BS109"/>
      <c r="BT109"/>
      <c r="BV109"/>
      <c r="BW109"/>
      <c r="BX109"/>
      <c r="BY109"/>
      <c r="BZ109"/>
      <c r="CA109"/>
      <c r="CB109"/>
      <c r="IS109"/>
      <c r="IT109"/>
      <c r="IU109"/>
      <c r="IV109"/>
      <c r="IW109"/>
      <c r="IX109"/>
      <c r="IY109"/>
      <c r="IZ109"/>
      <c r="JK109"/>
      <c r="JL109"/>
      <c r="JM109"/>
      <c r="JN109"/>
      <c r="JO109"/>
      <c r="JP109"/>
      <c r="JQ109"/>
      <c r="JR109"/>
      <c r="JS109"/>
      <c r="JT109"/>
      <c r="JU109"/>
      <c r="JV109"/>
      <c r="JW109"/>
      <c r="NP109" s="397"/>
      <c r="OW109"/>
      <c r="OX109"/>
      <c r="OY109"/>
      <c r="OZ109"/>
      <c r="PA109"/>
      <c r="PB109"/>
      <c r="PC109"/>
      <c r="PD109"/>
      <c r="PE109"/>
      <c r="PF109"/>
      <c r="PG109"/>
      <c r="PH109"/>
      <c r="PI109"/>
      <c r="PJ109"/>
      <c r="PK109"/>
      <c r="PL109"/>
      <c r="PM109"/>
      <c r="PN109"/>
      <c r="PO109"/>
      <c r="PP109"/>
      <c r="RY109" s="1"/>
      <c r="RZ109" s="1"/>
      <c r="SA109" s="1"/>
      <c r="SB109" s="1"/>
      <c r="SC109" s="1"/>
      <c r="SD109" s="1"/>
      <c r="SE109" s="1"/>
      <c r="SF109" s="1"/>
      <c r="SG109" s="1"/>
      <c r="SH109" s="1"/>
      <c r="SI109" s="1"/>
      <c r="SJ109" s="1"/>
      <c r="SK109" s="1"/>
      <c r="SZ109" s="569"/>
      <c r="TA109" s="569"/>
      <c r="TB109" s="569" t="s">
        <v>39</v>
      </c>
      <c r="TC109" s="568" t="s">
        <v>31</v>
      </c>
      <c r="TK109"/>
      <c r="TL109"/>
      <c r="TM109"/>
      <c r="TN109"/>
      <c r="TO109"/>
      <c r="TP109"/>
      <c r="TQ109"/>
      <c r="TR109"/>
      <c r="TS109"/>
      <c r="TT109"/>
      <c r="TU109"/>
      <c r="TV109"/>
      <c r="TW109"/>
    </row>
    <row r="110" spans="20:543" x14ac:dyDescent="0.35">
      <c r="T110" s="241"/>
      <c r="U110" s="241"/>
      <c r="V110" s="895"/>
      <c r="W110" s="895"/>
      <c r="X110" s="895"/>
      <c r="Y110" s="895"/>
      <c r="Z110" s="895"/>
      <c r="AA110" s="341"/>
      <c r="AB110" s="341"/>
      <c r="AC110" s="341"/>
      <c r="AD110" s="341"/>
      <c r="AE110" s="341"/>
      <c r="AF110" s="341"/>
      <c r="AG110" s="866"/>
      <c r="AH110" s="866"/>
      <c r="AI110" s="866"/>
      <c r="AJ110" s="866"/>
      <c r="AL110"/>
      <c r="AM110"/>
      <c r="AN110"/>
      <c r="AO110"/>
      <c r="AP110"/>
      <c r="AQ110"/>
      <c r="AR110"/>
      <c r="AS110"/>
      <c r="AT110"/>
      <c r="AU110"/>
      <c r="AV110"/>
      <c r="AW110"/>
      <c r="AX110"/>
      <c r="AY110"/>
      <c r="AZ110"/>
      <c r="BA110"/>
      <c r="BB110"/>
      <c r="BD110"/>
      <c r="BE110"/>
      <c r="BF110"/>
      <c r="BG110"/>
      <c r="BH110"/>
      <c r="BI110"/>
      <c r="BJ110"/>
      <c r="BK110"/>
      <c r="BL110"/>
      <c r="BM110"/>
      <c r="BN110"/>
      <c r="BO110"/>
      <c r="BP110"/>
      <c r="BQ110"/>
      <c r="BR110"/>
      <c r="BS110"/>
      <c r="BT110"/>
      <c r="BV110"/>
      <c r="BW110"/>
      <c r="BX110"/>
      <c r="BY110"/>
      <c r="BZ110"/>
      <c r="CA110"/>
      <c r="CB110"/>
      <c r="IS110"/>
      <c r="IT110"/>
      <c r="IU110"/>
      <c r="IV110"/>
      <c r="IW110"/>
      <c r="IX110"/>
      <c r="IY110"/>
      <c r="IZ110"/>
      <c r="JK110"/>
      <c r="JL110"/>
      <c r="JM110"/>
      <c r="JN110"/>
      <c r="JO110"/>
      <c r="JP110"/>
      <c r="JQ110"/>
      <c r="JR110"/>
      <c r="JS110"/>
      <c r="JT110"/>
      <c r="JU110"/>
      <c r="JV110"/>
      <c r="JW110"/>
      <c r="NP110" s="397"/>
      <c r="OW110"/>
      <c r="OX110"/>
      <c r="OY110"/>
      <c r="OZ110"/>
      <c r="PA110"/>
      <c r="PB110"/>
      <c r="PC110"/>
      <c r="PD110"/>
      <c r="PE110"/>
      <c r="PF110"/>
      <c r="PG110"/>
      <c r="PH110"/>
      <c r="PI110"/>
      <c r="PJ110"/>
      <c r="PK110"/>
      <c r="PL110"/>
      <c r="PM110"/>
      <c r="PN110"/>
      <c r="PO110"/>
      <c r="PP110"/>
      <c r="RY110" s="1"/>
      <c r="RZ110" s="1"/>
      <c r="SA110" s="1"/>
      <c r="SB110" s="1"/>
      <c r="SC110" s="1"/>
      <c r="SD110" s="1"/>
      <c r="SE110" s="1"/>
      <c r="SF110" s="1"/>
      <c r="SG110" s="1"/>
      <c r="SH110" s="1"/>
      <c r="SI110" s="1"/>
      <c r="SJ110" s="1"/>
      <c r="SK110" s="1"/>
      <c r="SZ110" s="569"/>
      <c r="TA110" s="569"/>
      <c r="TB110" s="569" t="s">
        <v>35</v>
      </c>
      <c r="TC110" s="568" t="s">
        <v>40</v>
      </c>
      <c r="TK110"/>
      <c r="TL110"/>
      <c r="TM110"/>
      <c r="TN110"/>
      <c r="TO110"/>
      <c r="TP110"/>
      <c r="TQ110"/>
      <c r="TR110"/>
      <c r="TS110"/>
      <c r="TT110"/>
      <c r="TU110"/>
      <c r="TV110"/>
      <c r="TW110"/>
    </row>
    <row r="111" spans="20:543" x14ac:dyDescent="0.35">
      <c r="T111" s="241"/>
      <c r="U111" s="241"/>
      <c r="V111" s="895"/>
      <c r="W111" s="895"/>
      <c r="X111" s="895"/>
      <c r="Y111" s="895"/>
      <c r="Z111" s="895"/>
      <c r="AA111" s="341"/>
      <c r="AB111" s="341"/>
      <c r="AC111" s="341"/>
      <c r="AD111" s="341"/>
      <c r="AE111" s="341"/>
      <c r="AF111" s="341"/>
      <c r="AG111" s="866"/>
      <c r="AH111" s="866"/>
      <c r="AI111" s="866"/>
      <c r="AJ111" s="866"/>
      <c r="AL111"/>
      <c r="AM111"/>
      <c r="AN111"/>
      <c r="AO111"/>
      <c r="AP111"/>
      <c r="AQ111"/>
      <c r="AR111"/>
      <c r="AS111"/>
      <c r="AT111"/>
      <c r="AU111"/>
      <c r="AV111"/>
      <c r="AW111"/>
      <c r="AX111"/>
      <c r="AY111"/>
      <c r="AZ111"/>
      <c r="BA111"/>
      <c r="BB111"/>
      <c r="BD111"/>
      <c r="BE111"/>
      <c r="BF111"/>
      <c r="BG111"/>
      <c r="BH111"/>
      <c r="BI111"/>
      <c r="BJ111"/>
      <c r="BK111"/>
      <c r="BL111"/>
      <c r="BM111"/>
      <c r="BN111"/>
      <c r="BO111"/>
      <c r="BP111"/>
      <c r="BQ111"/>
      <c r="BR111"/>
      <c r="BS111"/>
      <c r="BT111"/>
      <c r="BV111"/>
      <c r="BW111"/>
      <c r="BX111"/>
      <c r="BY111"/>
      <c r="BZ111"/>
      <c r="CA111"/>
      <c r="CB111"/>
      <c r="IS111"/>
      <c r="IT111"/>
      <c r="IU111"/>
      <c r="IV111"/>
      <c r="IW111"/>
      <c r="IX111"/>
      <c r="IY111"/>
      <c r="IZ111"/>
      <c r="JK111"/>
      <c r="JL111"/>
      <c r="JM111"/>
      <c r="JN111"/>
      <c r="JO111"/>
      <c r="JP111"/>
      <c r="JQ111"/>
      <c r="JR111"/>
      <c r="JS111"/>
      <c r="JT111"/>
      <c r="JU111"/>
      <c r="JV111"/>
      <c r="JW111"/>
      <c r="NP111" s="397"/>
      <c r="OW111"/>
      <c r="OX111"/>
      <c r="OY111"/>
      <c r="OZ111"/>
      <c r="PA111"/>
      <c r="PB111"/>
      <c r="PC111"/>
      <c r="PD111"/>
      <c r="PE111"/>
      <c r="PF111"/>
      <c r="PG111"/>
      <c r="PH111"/>
      <c r="PI111"/>
      <c r="PJ111"/>
      <c r="PK111"/>
      <c r="PL111"/>
      <c r="PM111"/>
      <c r="PN111"/>
      <c r="PO111"/>
      <c r="PP111"/>
      <c r="RY111" s="1"/>
      <c r="RZ111" s="1"/>
      <c r="SA111" s="1"/>
      <c r="SB111" s="1"/>
      <c r="SC111" s="1"/>
      <c r="SD111" s="1"/>
      <c r="SE111" s="1"/>
      <c r="SF111" s="1"/>
      <c r="SG111" s="1"/>
      <c r="SH111" s="1"/>
      <c r="SI111" s="1"/>
      <c r="SJ111" s="1"/>
      <c r="SK111" s="1"/>
      <c r="SZ111" s="567"/>
      <c r="TA111" s="567"/>
      <c r="TB111" s="567" t="s">
        <v>10</v>
      </c>
      <c r="TC111" s="566" t="s">
        <v>39</v>
      </c>
      <c r="TK111"/>
      <c r="TL111"/>
      <c r="TM111"/>
      <c r="TN111"/>
      <c r="TO111"/>
      <c r="TP111"/>
      <c r="TQ111"/>
      <c r="TR111"/>
      <c r="TS111"/>
      <c r="TT111"/>
      <c r="TU111"/>
      <c r="TV111"/>
      <c r="TW111"/>
    </row>
    <row r="112" spans="20:543" x14ac:dyDescent="0.35">
      <c r="T112" s="241"/>
      <c r="U112" s="241"/>
      <c r="V112" s="895"/>
      <c r="W112" s="895"/>
      <c r="X112" s="895"/>
      <c r="Y112" s="895"/>
      <c r="Z112" s="895"/>
      <c r="AA112" s="341"/>
      <c r="AB112" s="341"/>
      <c r="AC112" s="341"/>
      <c r="AD112" s="341"/>
      <c r="AE112" s="341"/>
      <c r="AF112" s="341"/>
      <c r="AG112" s="866"/>
      <c r="AH112" s="866"/>
      <c r="AI112" s="866"/>
      <c r="AJ112" s="866"/>
      <c r="AL112"/>
      <c r="AM112"/>
      <c r="AN112"/>
      <c r="AO112"/>
      <c r="AP112"/>
      <c r="AQ112"/>
      <c r="AR112"/>
      <c r="AS112"/>
      <c r="AT112"/>
      <c r="AU112"/>
      <c r="AV112"/>
      <c r="AW112"/>
      <c r="AX112"/>
      <c r="AY112"/>
      <c r="AZ112"/>
      <c r="BA112"/>
      <c r="BB112"/>
      <c r="BD112"/>
      <c r="BE112"/>
      <c r="BF112"/>
      <c r="BG112"/>
      <c r="BH112"/>
      <c r="BI112"/>
      <c r="BJ112"/>
      <c r="BK112"/>
      <c r="BL112"/>
      <c r="BM112"/>
      <c r="BN112"/>
      <c r="BO112"/>
      <c r="BP112"/>
      <c r="BQ112"/>
      <c r="BR112"/>
      <c r="BS112"/>
      <c r="BT112"/>
      <c r="BV112"/>
      <c r="BW112"/>
      <c r="BX112"/>
      <c r="BY112"/>
      <c r="BZ112"/>
      <c r="CA112"/>
      <c r="CB112"/>
      <c r="IS112"/>
      <c r="IT112"/>
      <c r="IU112"/>
      <c r="IV112"/>
      <c r="IW112"/>
      <c r="IX112"/>
      <c r="IY112"/>
      <c r="IZ112"/>
      <c r="JK112"/>
      <c r="JL112"/>
      <c r="JM112"/>
      <c r="JN112"/>
      <c r="JO112"/>
      <c r="JP112"/>
      <c r="JQ112"/>
      <c r="JR112"/>
      <c r="JS112"/>
      <c r="JT112"/>
      <c r="JU112"/>
      <c r="JV112"/>
      <c r="JW112"/>
      <c r="NP112" s="397"/>
      <c r="OW112"/>
      <c r="OX112"/>
      <c r="OY112"/>
      <c r="OZ112"/>
      <c r="PA112"/>
      <c r="PB112"/>
      <c r="PC112"/>
      <c r="PD112"/>
      <c r="PE112"/>
      <c r="PF112"/>
      <c r="PG112"/>
      <c r="PH112"/>
      <c r="PI112"/>
      <c r="PJ112"/>
      <c r="PK112"/>
      <c r="PL112"/>
      <c r="PM112"/>
      <c r="PN112"/>
      <c r="PO112"/>
      <c r="PP112"/>
      <c r="RY112" s="1"/>
      <c r="RZ112" s="1"/>
      <c r="SA112" s="1"/>
      <c r="SB112" s="1"/>
      <c r="SC112" s="1"/>
      <c r="SD112" s="1"/>
      <c r="SE112" s="1"/>
      <c r="SF112" s="1"/>
      <c r="SG112" s="1"/>
      <c r="SH112" s="1"/>
      <c r="SI112" s="1"/>
      <c r="SJ112" s="1"/>
      <c r="SK112" s="1"/>
      <c r="SZ112" s="565"/>
      <c r="TA112" s="565"/>
      <c r="TB112" s="565" t="s">
        <v>47</v>
      </c>
      <c r="TC112" s="565" t="s">
        <v>839</v>
      </c>
      <c r="TK112"/>
      <c r="TL112"/>
      <c r="TM112"/>
      <c r="TN112"/>
      <c r="TO112"/>
      <c r="TP112"/>
      <c r="TQ112"/>
      <c r="TR112"/>
      <c r="TS112"/>
      <c r="TT112"/>
      <c r="TU112"/>
      <c r="TV112"/>
      <c r="TW112"/>
    </row>
    <row r="113" spans="20:543" x14ac:dyDescent="0.35">
      <c r="T113" s="241"/>
      <c r="U113" s="241"/>
      <c r="V113" s="895"/>
      <c r="W113" s="895"/>
      <c r="X113" s="895"/>
      <c r="Y113" s="895"/>
      <c r="Z113" s="895"/>
      <c r="AA113" s="341"/>
      <c r="AB113" s="341"/>
      <c r="AC113" s="341"/>
      <c r="AD113" s="341"/>
      <c r="AE113" s="341"/>
      <c r="AF113" s="341"/>
      <c r="AG113" s="866"/>
      <c r="AH113" s="866"/>
      <c r="AI113" s="866"/>
      <c r="AJ113" s="866"/>
      <c r="AL113"/>
      <c r="AM113"/>
      <c r="AN113"/>
      <c r="AO113"/>
      <c r="AP113"/>
      <c r="AQ113"/>
      <c r="AR113"/>
      <c r="AS113"/>
      <c r="AT113"/>
      <c r="AU113"/>
      <c r="AV113"/>
      <c r="AW113"/>
      <c r="AX113"/>
      <c r="AY113"/>
      <c r="AZ113"/>
      <c r="BA113"/>
      <c r="BB113"/>
      <c r="BD113"/>
      <c r="BE113"/>
      <c r="BF113"/>
      <c r="BG113"/>
      <c r="BH113"/>
      <c r="BI113"/>
      <c r="BJ113"/>
      <c r="BK113"/>
      <c r="BL113"/>
      <c r="BM113"/>
      <c r="BN113"/>
      <c r="BO113"/>
      <c r="BP113"/>
      <c r="BQ113"/>
      <c r="BR113"/>
      <c r="BS113"/>
      <c r="BT113"/>
      <c r="BV113"/>
      <c r="BW113"/>
      <c r="BX113"/>
      <c r="BY113"/>
      <c r="BZ113"/>
      <c r="CA113"/>
      <c r="CB113"/>
      <c r="IS113"/>
      <c r="IT113"/>
      <c r="IU113"/>
      <c r="IV113"/>
      <c r="IW113"/>
      <c r="IX113"/>
      <c r="IY113"/>
      <c r="IZ113"/>
      <c r="JK113"/>
      <c r="JL113"/>
      <c r="JM113"/>
      <c r="JN113"/>
      <c r="JO113"/>
      <c r="JP113"/>
      <c r="JQ113"/>
      <c r="JR113"/>
      <c r="JS113"/>
      <c r="JT113"/>
      <c r="JU113"/>
      <c r="JV113"/>
      <c r="JW113"/>
      <c r="NP113" s="397"/>
      <c r="OW113"/>
      <c r="OX113"/>
      <c r="OY113"/>
      <c r="OZ113"/>
      <c r="PA113"/>
      <c r="PB113"/>
      <c r="PC113"/>
      <c r="PD113"/>
      <c r="PE113"/>
      <c r="PF113"/>
      <c r="PG113"/>
      <c r="PH113"/>
      <c r="PI113"/>
      <c r="PJ113"/>
      <c r="PK113"/>
      <c r="PL113"/>
      <c r="PM113"/>
      <c r="PN113"/>
      <c r="PO113"/>
      <c r="PP113"/>
      <c r="RY113" s="1"/>
      <c r="RZ113" s="1"/>
      <c r="SA113" s="1"/>
      <c r="SB113" s="1"/>
      <c r="SC113" s="1"/>
      <c r="SD113" s="1"/>
      <c r="SE113" s="1"/>
      <c r="SF113" s="1"/>
      <c r="SG113" s="1"/>
      <c r="SH113" s="1"/>
      <c r="SI113" s="1"/>
      <c r="SJ113" s="1"/>
      <c r="SK113" s="1"/>
      <c r="SZ113" s="554"/>
      <c r="TA113" s="554"/>
      <c r="TB113" s="554"/>
      <c r="TC113" s="554"/>
      <c r="TK113"/>
      <c r="TL113"/>
      <c r="TM113"/>
      <c r="TN113"/>
      <c r="TO113"/>
      <c r="TP113"/>
      <c r="TQ113"/>
      <c r="TR113"/>
      <c r="TS113"/>
      <c r="TT113"/>
      <c r="TU113"/>
      <c r="TV113"/>
      <c r="TW113"/>
    </row>
    <row r="114" spans="20:543" x14ac:dyDescent="0.35">
      <c r="T114" s="241"/>
      <c r="U114" s="241"/>
      <c r="V114" s="895"/>
      <c r="W114" s="895"/>
      <c r="X114" s="895"/>
      <c r="Y114" s="895"/>
      <c r="Z114" s="895"/>
      <c r="AA114" s="341"/>
      <c r="AB114" s="341"/>
      <c r="AC114" s="341"/>
      <c r="AD114" s="341"/>
      <c r="AE114" s="341"/>
      <c r="AF114" s="341"/>
      <c r="AG114" s="866"/>
      <c r="AH114" s="866"/>
      <c r="AI114" s="866"/>
      <c r="AJ114" s="866"/>
      <c r="AL114"/>
      <c r="AM114"/>
      <c r="AN114"/>
      <c r="AO114"/>
      <c r="AP114"/>
      <c r="AQ114"/>
      <c r="AR114"/>
      <c r="AS114"/>
      <c r="AT114"/>
      <c r="AU114"/>
      <c r="AV114"/>
      <c r="AW114"/>
      <c r="AX114"/>
      <c r="AY114"/>
      <c r="AZ114"/>
      <c r="BA114"/>
      <c r="BB114"/>
      <c r="BD114"/>
      <c r="BE114"/>
      <c r="BF114"/>
      <c r="BG114"/>
      <c r="BH114"/>
      <c r="BI114"/>
      <c r="BJ114"/>
      <c r="BK114"/>
      <c r="BL114"/>
      <c r="BM114"/>
      <c r="BN114"/>
      <c r="BO114"/>
      <c r="BP114"/>
      <c r="BQ114"/>
      <c r="BR114"/>
      <c r="BS114"/>
      <c r="BT114"/>
      <c r="BV114"/>
      <c r="BW114"/>
      <c r="BX114"/>
      <c r="BY114"/>
      <c r="BZ114"/>
      <c r="CA114"/>
      <c r="CB114"/>
      <c r="IS114"/>
      <c r="IT114"/>
      <c r="IU114"/>
      <c r="IV114"/>
      <c r="IW114"/>
      <c r="IX114"/>
      <c r="IY114"/>
      <c r="IZ114"/>
      <c r="JK114"/>
      <c r="JL114"/>
      <c r="JM114"/>
      <c r="JN114"/>
      <c r="JO114"/>
      <c r="JP114"/>
      <c r="JQ114"/>
      <c r="JR114"/>
      <c r="JS114"/>
      <c r="JT114"/>
      <c r="JU114"/>
      <c r="JV114"/>
      <c r="JW114"/>
      <c r="NP114" s="397"/>
      <c r="OW114"/>
      <c r="OX114"/>
      <c r="OY114"/>
      <c r="OZ114"/>
      <c r="PA114"/>
      <c r="PB114"/>
      <c r="PC114"/>
      <c r="PD114"/>
      <c r="PE114"/>
      <c r="PF114"/>
      <c r="PG114"/>
      <c r="PH114"/>
      <c r="PI114"/>
      <c r="PJ114"/>
      <c r="PK114"/>
      <c r="PL114"/>
      <c r="PM114"/>
      <c r="PN114"/>
      <c r="PO114"/>
      <c r="PP114"/>
      <c r="RY114" s="1"/>
      <c r="RZ114" s="1"/>
      <c r="SA114" s="1"/>
      <c r="SB114" s="1"/>
      <c r="SC114" s="1"/>
      <c r="SD114" s="1"/>
      <c r="SE114" s="1"/>
      <c r="SF114" s="1"/>
      <c r="SG114" s="1"/>
      <c r="SH114" s="1"/>
      <c r="SI114" s="1"/>
      <c r="SJ114" s="1"/>
      <c r="SK114" s="1"/>
      <c r="SZ114" s="557"/>
      <c r="TA114" s="557"/>
      <c r="TB114" s="564">
        <v>5579374.4999999907</v>
      </c>
      <c r="TC114" s="557">
        <v>22166325.399999987</v>
      </c>
      <c r="TK114"/>
      <c r="TL114"/>
      <c r="TM114"/>
      <c r="TN114"/>
      <c r="TO114"/>
      <c r="TP114"/>
      <c r="TQ114"/>
      <c r="TR114"/>
      <c r="TS114"/>
      <c r="TT114"/>
      <c r="TU114"/>
      <c r="TV114"/>
      <c r="TW114"/>
    </row>
    <row r="115" spans="20:543" x14ac:dyDescent="0.35">
      <c r="T115" s="241"/>
      <c r="U115" s="241"/>
      <c r="V115" s="895"/>
      <c r="W115" s="895"/>
      <c r="X115" s="895"/>
      <c r="Y115" s="895"/>
      <c r="Z115" s="895"/>
      <c r="AA115" s="341"/>
      <c r="AB115" s="341"/>
      <c r="AC115" s="341"/>
      <c r="AD115" s="341"/>
      <c r="AE115" s="341"/>
      <c r="AF115" s="341"/>
      <c r="AG115" s="866"/>
      <c r="AH115" s="866"/>
      <c r="AI115" s="866"/>
      <c r="AJ115" s="866"/>
      <c r="AL115"/>
      <c r="AM115"/>
      <c r="AN115"/>
      <c r="AO115"/>
      <c r="AP115"/>
      <c r="AQ115"/>
      <c r="AR115"/>
      <c r="AS115"/>
      <c r="AT115"/>
      <c r="AU115"/>
      <c r="AV115"/>
      <c r="AW115"/>
      <c r="AX115"/>
      <c r="AY115"/>
      <c r="AZ115"/>
      <c r="BA115"/>
      <c r="BB115"/>
      <c r="BD115"/>
      <c r="BE115"/>
      <c r="BF115"/>
      <c r="BG115"/>
      <c r="BH115"/>
      <c r="BI115"/>
      <c r="BJ115"/>
      <c r="BK115"/>
      <c r="BL115"/>
      <c r="BM115"/>
      <c r="BN115"/>
      <c r="BO115"/>
      <c r="BP115"/>
      <c r="BQ115"/>
      <c r="BR115"/>
      <c r="BS115"/>
      <c r="BT115"/>
      <c r="BV115"/>
      <c r="BW115"/>
      <c r="BX115"/>
      <c r="BY115"/>
      <c r="BZ115"/>
      <c r="CA115"/>
      <c r="CB115"/>
      <c r="IS115"/>
      <c r="IT115"/>
      <c r="IU115"/>
      <c r="IV115"/>
      <c r="IW115"/>
      <c r="IX115"/>
      <c r="IY115"/>
      <c r="IZ115"/>
      <c r="JK115"/>
      <c r="JL115"/>
      <c r="JM115"/>
      <c r="JN115"/>
      <c r="JO115"/>
      <c r="JP115"/>
      <c r="JQ115"/>
      <c r="JR115"/>
      <c r="JS115"/>
      <c r="JT115"/>
      <c r="JU115"/>
      <c r="JV115"/>
      <c r="JW115"/>
      <c r="NP115" s="397"/>
      <c r="OW115"/>
      <c r="OX115"/>
      <c r="OY115"/>
      <c r="OZ115"/>
      <c r="PA115"/>
      <c r="PB115"/>
      <c r="PC115"/>
      <c r="PD115"/>
      <c r="PE115"/>
      <c r="PF115"/>
      <c r="PG115"/>
      <c r="PH115"/>
      <c r="PI115"/>
      <c r="PJ115"/>
      <c r="PK115"/>
      <c r="PL115"/>
      <c r="PM115"/>
      <c r="PN115"/>
      <c r="PO115"/>
      <c r="PP115"/>
      <c r="RY115" s="1"/>
      <c r="RZ115" s="1"/>
      <c r="SA115" s="1"/>
      <c r="SB115" s="1"/>
      <c r="SC115" s="1"/>
      <c r="SD115" s="1"/>
      <c r="SE115" s="1"/>
      <c r="SF115" s="1"/>
      <c r="SG115" s="1"/>
      <c r="SH115" s="1"/>
      <c r="SI115" s="1"/>
      <c r="SJ115" s="1"/>
      <c r="SK115" s="1"/>
      <c r="SZ115" s="556"/>
      <c r="TA115" s="556"/>
      <c r="TB115" s="563">
        <v>0</v>
      </c>
      <c r="TC115" s="556">
        <v>2605590.9400559999</v>
      </c>
      <c r="TK115"/>
      <c r="TL115"/>
      <c r="TM115"/>
      <c r="TN115"/>
      <c r="TO115"/>
      <c r="TP115"/>
      <c r="TQ115"/>
      <c r="TR115"/>
      <c r="TS115"/>
      <c r="TT115"/>
      <c r="TU115"/>
      <c r="TV115"/>
      <c r="TW115"/>
    </row>
    <row r="116" spans="20:543" x14ac:dyDescent="0.35">
      <c r="T116" s="241"/>
      <c r="U116" s="241"/>
      <c r="V116" s="895"/>
      <c r="W116" s="895"/>
      <c r="X116" s="895"/>
      <c r="Y116" s="895"/>
      <c r="Z116" s="895"/>
      <c r="AA116" s="341"/>
      <c r="AB116" s="341"/>
      <c r="AC116" s="341"/>
      <c r="AD116" s="341"/>
      <c r="AE116" s="341"/>
      <c r="AF116" s="341"/>
      <c r="AG116" s="866"/>
      <c r="AH116" s="866"/>
      <c r="AI116" s="866"/>
      <c r="AJ116" s="866"/>
      <c r="AL116"/>
      <c r="AM116"/>
      <c r="AN116"/>
      <c r="AO116"/>
      <c r="AP116"/>
      <c r="AQ116"/>
      <c r="AR116"/>
      <c r="AS116"/>
      <c r="AT116"/>
      <c r="AU116"/>
      <c r="AV116"/>
      <c r="AW116"/>
      <c r="AX116"/>
      <c r="AY116"/>
      <c r="AZ116"/>
      <c r="BA116"/>
      <c r="BB116"/>
      <c r="BD116"/>
      <c r="BE116"/>
      <c r="BF116"/>
      <c r="BG116"/>
      <c r="BH116"/>
      <c r="BI116"/>
      <c r="BJ116"/>
      <c r="BK116"/>
      <c r="BL116"/>
      <c r="BM116"/>
      <c r="BN116"/>
      <c r="BO116"/>
      <c r="BP116"/>
      <c r="BQ116"/>
      <c r="BR116"/>
      <c r="BS116"/>
      <c r="BT116"/>
      <c r="BV116"/>
      <c r="BW116"/>
      <c r="BX116"/>
      <c r="BY116"/>
      <c r="BZ116"/>
      <c r="CA116"/>
      <c r="CB116"/>
      <c r="IS116"/>
      <c r="IT116"/>
      <c r="IU116"/>
      <c r="IV116"/>
      <c r="IW116"/>
      <c r="IX116"/>
      <c r="IY116"/>
      <c r="IZ116"/>
      <c r="JK116"/>
      <c r="JL116"/>
      <c r="JM116"/>
      <c r="JN116"/>
      <c r="JO116"/>
      <c r="JP116"/>
      <c r="JQ116"/>
      <c r="JR116"/>
      <c r="JS116"/>
      <c r="JT116"/>
      <c r="JU116"/>
      <c r="JV116"/>
      <c r="JW116"/>
      <c r="NP116" s="397"/>
      <c r="OW116"/>
      <c r="OX116"/>
      <c r="OY116"/>
      <c r="OZ116"/>
      <c r="PA116"/>
      <c r="PB116"/>
      <c r="PC116"/>
      <c r="PD116"/>
      <c r="PE116"/>
      <c r="PF116"/>
      <c r="PG116"/>
      <c r="PH116"/>
      <c r="PI116"/>
      <c r="PJ116"/>
      <c r="PK116"/>
      <c r="PL116"/>
      <c r="PM116"/>
      <c r="PN116"/>
      <c r="PO116"/>
      <c r="PP116"/>
      <c r="RY116" s="1"/>
      <c r="RZ116" s="1"/>
      <c r="SA116" s="1"/>
      <c r="SB116" s="1"/>
      <c r="SC116" s="1"/>
      <c r="SD116" s="1"/>
      <c r="SE116" s="1"/>
      <c r="SF116" s="1"/>
      <c r="SG116" s="1"/>
      <c r="SH116" s="1"/>
      <c r="SI116" s="1"/>
      <c r="SJ116" s="1"/>
      <c r="SK116" s="1"/>
      <c r="SZ116" s="556"/>
      <c r="TA116" s="556"/>
      <c r="TB116" s="563">
        <v>2786.3999999999996</v>
      </c>
      <c r="TC116" s="556">
        <v>10041.06</v>
      </c>
      <c r="TK116"/>
      <c r="TL116"/>
      <c r="TM116"/>
      <c r="TN116"/>
      <c r="TO116"/>
      <c r="TP116"/>
      <c r="TQ116"/>
      <c r="TR116"/>
      <c r="TS116"/>
      <c r="TT116"/>
      <c r="TU116"/>
      <c r="TV116"/>
      <c r="TW116"/>
    </row>
    <row r="117" spans="20:543" x14ac:dyDescent="0.35">
      <c r="T117" s="241"/>
      <c r="U117" s="241"/>
      <c r="V117" s="895"/>
      <c r="W117" s="895"/>
      <c r="X117" s="895"/>
      <c r="Y117" s="895"/>
      <c r="Z117" s="895"/>
      <c r="AA117" s="341"/>
      <c r="AB117" s="341"/>
      <c r="AC117" s="341"/>
      <c r="AD117" s="341"/>
      <c r="AE117" s="341"/>
      <c r="AF117" s="341"/>
      <c r="AG117" s="866"/>
      <c r="AH117" s="866"/>
      <c r="AI117" s="866"/>
      <c r="AJ117" s="866"/>
      <c r="AL117"/>
      <c r="AM117"/>
      <c r="AN117"/>
      <c r="AO117"/>
      <c r="AP117"/>
      <c r="AQ117"/>
      <c r="AR117"/>
      <c r="AS117"/>
      <c r="AT117"/>
      <c r="AU117"/>
      <c r="AV117"/>
      <c r="AW117"/>
      <c r="AX117"/>
      <c r="AY117"/>
      <c r="AZ117"/>
      <c r="BA117"/>
      <c r="BB117"/>
      <c r="BD117"/>
      <c r="BE117"/>
      <c r="BF117"/>
      <c r="BG117"/>
      <c r="BH117"/>
      <c r="BI117"/>
      <c r="BJ117"/>
      <c r="BK117"/>
      <c r="BL117"/>
      <c r="BM117"/>
      <c r="BN117"/>
      <c r="BO117"/>
      <c r="BP117"/>
      <c r="BQ117"/>
      <c r="BR117"/>
      <c r="BS117"/>
      <c r="BT117"/>
      <c r="BV117"/>
      <c r="BW117"/>
      <c r="BX117"/>
      <c r="BY117"/>
      <c r="BZ117"/>
      <c r="CA117"/>
      <c r="CB117"/>
      <c r="IS117"/>
      <c r="IT117"/>
      <c r="IU117"/>
      <c r="IV117"/>
      <c r="IW117"/>
      <c r="IX117"/>
      <c r="IY117"/>
      <c r="IZ117"/>
      <c r="JK117"/>
      <c r="JL117"/>
      <c r="JM117"/>
      <c r="JN117"/>
      <c r="JO117"/>
      <c r="JP117"/>
      <c r="JQ117"/>
      <c r="JR117"/>
      <c r="JS117"/>
      <c r="JT117"/>
      <c r="JU117"/>
      <c r="JV117"/>
      <c r="JW117"/>
      <c r="NP117" s="397"/>
      <c r="OW117"/>
      <c r="OX117"/>
      <c r="OY117"/>
      <c r="OZ117"/>
      <c r="PA117"/>
      <c r="PB117"/>
      <c r="PC117"/>
      <c r="PD117"/>
      <c r="PE117"/>
      <c r="PF117"/>
      <c r="PG117"/>
      <c r="PH117"/>
      <c r="PI117"/>
      <c r="PJ117"/>
      <c r="PK117"/>
      <c r="PL117"/>
      <c r="PM117"/>
      <c r="PN117"/>
      <c r="PO117"/>
      <c r="PP117"/>
      <c r="SZ117" s="555"/>
      <c r="TA117" s="555"/>
      <c r="TB117" s="562">
        <v>2288608.3824759992</v>
      </c>
      <c r="TC117" s="555">
        <v>8283744.0271300003</v>
      </c>
    </row>
    <row r="118" spans="20:543" x14ac:dyDescent="0.35">
      <c r="T118" s="241"/>
      <c r="U118" s="241"/>
      <c r="V118" s="895"/>
      <c r="W118" s="895"/>
      <c r="X118" s="895"/>
      <c r="Y118" s="895"/>
      <c r="Z118" s="895"/>
      <c r="AA118" s="341"/>
      <c r="AB118" s="341"/>
      <c r="AC118" s="341"/>
      <c r="AD118" s="341"/>
      <c r="AE118" s="341"/>
      <c r="AF118" s="341"/>
      <c r="AG118" s="866"/>
      <c r="AH118" s="866"/>
      <c r="AI118" s="866"/>
      <c r="AJ118" s="866"/>
      <c r="AL118"/>
      <c r="AM118"/>
      <c r="AN118"/>
      <c r="AO118"/>
      <c r="AP118"/>
      <c r="AQ118"/>
      <c r="AR118"/>
      <c r="AS118"/>
      <c r="AT118"/>
      <c r="AU118"/>
      <c r="AV118"/>
      <c r="AW118"/>
      <c r="AX118"/>
      <c r="AY118"/>
      <c r="AZ118"/>
      <c r="BA118"/>
      <c r="BB118"/>
      <c r="BD118"/>
      <c r="BE118"/>
      <c r="BF118"/>
      <c r="BG118"/>
      <c r="BH118"/>
      <c r="BI118"/>
      <c r="BJ118"/>
      <c r="BK118"/>
      <c r="BL118"/>
      <c r="BM118"/>
      <c r="BN118"/>
      <c r="BO118"/>
      <c r="BP118"/>
      <c r="BQ118"/>
      <c r="BR118"/>
      <c r="BS118"/>
      <c r="BT118"/>
      <c r="BV118"/>
      <c r="BW118"/>
      <c r="BX118"/>
      <c r="BY118"/>
      <c r="BZ118"/>
      <c r="CA118"/>
      <c r="CB118"/>
      <c r="IS118"/>
      <c r="IT118"/>
      <c r="IU118"/>
      <c r="IV118"/>
      <c r="IW118"/>
      <c r="IX118"/>
      <c r="IY118"/>
      <c r="IZ118"/>
      <c r="JK118"/>
      <c r="JL118"/>
      <c r="JM118"/>
      <c r="JN118"/>
      <c r="JO118"/>
      <c r="JP118"/>
      <c r="JQ118"/>
      <c r="JR118"/>
      <c r="JS118"/>
      <c r="JT118"/>
      <c r="JU118"/>
      <c r="JV118"/>
      <c r="JW118"/>
      <c r="NP118" s="397"/>
      <c r="OW118"/>
      <c r="OX118"/>
      <c r="OY118"/>
      <c r="OZ118"/>
      <c r="PA118"/>
      <c r="PB118"/>
      <c r="PC118"/>
      <c r="PD118"/>
      <c r="PE118"/>
      <c r="PF118"/>
      <c r="PG118"/>
      <c r="PH118"/>
      <c r="PI118"/>
      <c r="PJ118"/>
      <c r="PK118"/>
      <c r="PL118"/>
      <c r="PM118"/>
      <c r="PN118"/>
      <c r="PO118"/>
      <c r="PP118"/>
      <c r="SZ118" s="556"/>
      <c r="TA118" s="556"/>
      <c r="TB118" s="556">
        <v>7870769.2824759902</v>
      </c>
      <c r="TC118" s="556">
        <v>33065701.427185986</v>
      </c>
    </row>
    <row r="119" spans="20:543" x14ac:dyDescent="0.35">
      <c r="T119" s="241"/>
      <c r="U119" s="241"/>
      <c r="V119" s="895"/>
      <c r="W119" s="895"/>
      <c r="X119" s="895"/>
      <c r="Y119" s="895"/>
      <c r="Z119" s="895"/>
      <c r="AA119" s="341"/>
      <c r="AB119" s="341"/>
      <c r="AC119" s="341"/>
      <c r="AD119" s="341"/>
      <c r="AE119" s="341"/>
      <c r="AF119" s="341"/>
      <c r="AG119" s="866"/>
      <c r="AH119" s="866"/>
      <c r="AI119" s="866"/>
      <c r="AJ119" s="866"/>
      <c r="AL119"/>
      <c r="AM119"/>
      <c r="AN119"/>
      <c r="AO119"/>
      <c r="AP119"/>
      <c r="AQ119"/>
      <c r="AR119"/>
      <c r="AS119"/>
      <c r="AT119"/>
      <c r="AU119"/>
      <c r="AV119"/>
      <c r="AW119"/>
      <c r="AX119"/>
      <c r="AY119"/>
      <c r="AZ119"/>
      <c r="BA119"/>
      <c r="BB119"/>
      <c r="BD119"/>
      <c r="BE119"/>
      <c r="BF119"/>
      <c r="BG119"/>
      <c r="BH119"/>
      <c r="BI119"/>
      <c r="BJ119"/>
      <c r="BK119"/>
      <c r="BL119"/>
      <c r="BM119"/>
      <c r="BN119"/>
      <c r="BO119"/>
      <c r="BP119"/>
      <c r="BQ119"/>
      <c r="BR119"/>
      <c r="BS119"/>
      <c r="BT119"/>
      <c r="BV119"/>
      <c r="BW119"/>
      <c r="BX119"/>
      <c r="BY119"/>
      <c r="BZ119"/>
      <c r="CA119"/>
      <c r="CB119"/>
      <c r="IS119"/>
      <c r="IT119"/>
      <c r="IU119"/>
      <c r="IV119"/>
      <c r="IW119"/>
      <c r="IX119"/>
      <c r="IY119"/>
      <c r="IZ119"/>
      <c r="JK119"/>
      <c r="JL119"/>
      <c r="JM119"/>
      <c r="JN119"/>
      <c r="JO119"/>
      <c r="JP119"/>
      <c r="JQ119"/>
      <c r="JR119"/>
      <c r="JS119"/>
      <c r="JT119"/>
      <c r="JU119"/>
      <c r="JV119"/>
      <c r="JW119"/>
      <c r="NP119" s="397"/>
      <c r="OW119"/>
      <c r="OX119"/>
      <c r="OY119"/>
      <c r="OZ119"/>
      <c r="PA119"/>
      <c r="PB119"/>
      <c r="PC119"/>
      <c r="PD119"/>
      <c r="PE119"/>
      <c r="PF119"/>
      <c r="PG119"/>
      <c r="PH119"/>
      <c r="PI119"/>
      <c r="PJ119"/>
      <c r="PK119"/>
      <c r="PL119"/>
      <c r="PM119"/>
      <c r="PN119"/>
      <c r="PO119"/>
      <c r="PP119"/>
      <c r="SZ119" s="556"/>
      <c r="TA119" s="556"/>
      <c r="TB119" s="556"/>
      <c r="TC119" s="556"/>
    </row>
    <row r="120" spans="20:543" x14ac:dyDescent="0.35">
      <c r="T120" s="241"/>
      <c r="U120" s="241"/>
      <c r="V120" s="895"/>
      <c r="W120" s="895"/>
      <c r="X120" s="895"/>
      <c r="Y120" s="895"/>
      <c r="Z120" s="895"/>
      <c r="AA120" s="341"/>
      <c r="AB120" s="341"/>
      <c r="AC120" s="341"/>
      <c r="AD120" s="341"/>
      <c r="AE120" s="341"/>
      <c r="AF120" s="341"/>
      <c r="AG120" s="900"/>
      <c r="AH120" s="900"/>
      <c r="AI120" s="900"/>
      <c r="AJ120" s="900"/>
      <c r="AL120"/>
      <c r="AM120"/>
      <c r="AN120"/>
      <c r="AO120"/>
      <c r="AP120"/>
      <c r="AQ120"/>
      <c r="AR120"/>
      <c r="AS120"/>
      <c r="AT120"/>
      <c r="AU120"/>
      <c r="AV120"/>
      <c r="AW120"/>
      <c r="AX120"/>
      <c r="AY120"/>
      <c r="AZ120"/>
      <c r="BA120"/>
      <c r="BB120"/>
      <c r="BD120"/>
      <c r="BE120"/>
      <c r="BF120"/>
      <c r="BG120"/>
      <c r="BH120"/>
      <c r="BI120"/>
      <c r="BJ120"/>
      <c r="BK120"/>
      <c r="BL120"/>
      <c r="BM120"/>
      <c r="BN120"/>
      <c r="BO120"/>
      <c r="BP120"/>
      <c r="BQ120"/>
      <c r="BR120"/>
      <c r="BS120"/>
      <c r="BT120"/>
      <c r="BV120"/>
      <c r="BW120"/>
      <c r="BX120"/>
      <c r="BY120"/>
      <c r="BZ120"/>
      <c r="CA120"/>
      <c r="CB120"/>
      <c r="IS120"/>
      <c r="IT120"/>
      <c r="IU120"/>
      <c r="IV120"/>
      <c r="IW120"/>
      <c r="IX120"/>
      <c r="IY120"/>
      <c r="IZ120"/>
      <c r="JK120"/>
      <c r="JL120"/>
      <c r="JM120"/>
      <c r="JN120"/>
      <c r="JO120"/>
      <c r="JP120"/>
      <c r="JQ120"/>
      <c r="JR120"/>
      <c r="JS120"/>
      <c r="JT120"/>
      <c r="JU120"/>
      <c r="JV120"/>
      <c r="JW120"/>
      <c r="NP120" s="397"/>
      <c r="OW120"/>
      <c r="OX120"/>
      <c r="OY120"/>
      <c r="OZ120"/>
      <c r="PA120"/>
      <c r="PB120"/>
      <c r="PC120"/>
      <c r="PD120"/>
      <c r="PE120"/>
      <c r="PF120"/>
      <c r="PG120"/>
      <c r="PH120"/>
      <c r="PI120"/>
      <c r="PJ120"/>
      <c r="PK120"/>
      <c r="PL120"/>
      <c r="PM120"/>
      <c r="PN120"/>
      <c r="PO120"/>
      <c r="PP120"/>
      <c r="SZ120" s="556"/>
      <c r="TA120" s="556"/>
      <c r="TB120" s="556">
        <v>7870769.2824759902</v>
      </c>
      <c r="TC120" s="556">
        <v>33065701.427185986</v>
      </c>
    </row>
    <row r="121" spans="20:543" x14ac:dyDescent="0.35">
      <c r="T121" s="241"/>
      <c r="U121" s="241"/>
      <c r="V121" s="895"/>
      <c r="W121" s="895"/>
      <c r="X121" s="895"/>
      <c r="Y121" s="895"/>
      <c r="Z121" s="895"/>
      <c r="AA121" s="341"/>
      <c r="AB121" s="341"/>
      <c r="AC121" s="341"/>
      <c r="AD121" s="341"/>
      <c r="AE121" s="341"/>
      <c r="AF121" s="341"/>
      <c r="AG121" s="899"/>
      <c r="AH121" s="899"/>
      <c r="AI121" s="899"/>
      <c r="AJ121" s="899"/>
      <c r="AL121"/>
      <c r="AM121"/>
      <c r="AN121"/>
      <c r="AO121"/>
      <c r="AP121"/>
      <c r="AQ121"/>
      <c r="AR121"/>
      <c r="AS121"/>
      <c r="AT121"/>
      <c r="AU121"/>
      <c r="AV121"/>
      <c r="AW121"/>
      <c r="AX121"/>
      <c r="AY121"/>
      <c r="AZ121"/>
      <c r="BA121"/>
      <c r="BB121"/>
      <c r="BD121"/>
      <c r="BE121"/>
      <c r="BF121"/>
      <c r="BG121"/>
      <c r="BH121"/>
      <c r="BI121"/>
      <c r="BJ121"/>
      <c r="BK121"/>
      <c r="BL121"/>
      <c r="BM121"/>
      <c r="BN121"/>
      <c r="BO121"/>
      <c r="BP121"/>
      <c r="BQ121"/>
      <c r="BR121"/>
      <c r="BS121"/>
      <c r="BT121"/>
      <c r="BV121"/>
      <c r="BW121"/>
      <c r="BX121"/>
      <c r="BY121"/>
      <c r="BZ121"/>
      <c r="CA121"/>
      <c r="CB121"/>
      <c r="IS121"/>
      <c r="IT121"/>
      <c r="IU121"/>
      <c r="IV121"/>
      <c r="IW121"/>
      <c r="IX121"/>
      <c r="IY121"/>
      <c r="IZ121"/>
      <c r="NP121" s="397"/>
      <c r="OW121"/>
      <c r="OX121"/>
      <c r="OY121"/>
      <c r="OZ121"/>
      <c r="PA121"/>
      <c r="PB121"/>
      <c r="PC121"/>
      <c r="PD121"/>
      <c r="PE121"/>
      <c r="PF121"/>
      <c r="PG121"/>
      <c r="PH121"/>
      <c r="PI121"/>
      <c r="PJ121"/>
      <c r="PK121"/>
      <c r="PL121"/>
      <c r="PM121"/>
      <c r="PN121"/>
      <c r="PO121"/>
      <c r="PP121"/>
      <c r="SZ121" s="561"/>
      <c r="TA121" s="561"/>
      <c r="TB121" s="561"/>
      <c r="TC121" s="561"/>
    </row>
    <row r="122" spans="20:543" x14ac:dyDescent="0.35">
      <c r="T122" s="241"/>
      <c r="U122" s="241"/>
      <c r="V122" s="895"/>
      <c r="W122" s="895"/>
      <c r="X122" s="895"/>
      <c r="Y122" s="895"/>
      <c r="Z122" s="895"/>
      <c r="AA122" s="341"/>
      <c r="AB122" s="341"/>
      <c r="AC122" s="341"/>
      <c r="AD122" s="341"/>
      <c r="AE122" s="341"/>
      <c r="AF122" s="341"/>
      <c r="AG122" s="866"/>
      <c r="AH122" s="866"/>
      <c r="AI122" s="866"/>
      <c r="AJ122" s="866"/>
      <c r="AL122"/>
      <c r="AM122"/>
      <c r="AN122"/>
      <c r="AO122"/>
      <c r="AP122"/>
      <c r="AQ122"/>
      <c r="AR122"/>
      <c r="AS122"/>
      <c r="AT122"/>
      <c r="AU122"/>
      <c r="AV122"/>
      <c r="AW122"/>
      <c r="AX122"/>
      <c r="AY122"/>
      <c r="AZ122"/>
      <c r="BA122"/>
      <c r="BB122"/>
      <c r="BD122"/>
      <c r="BE122"/>
      <c r="BF122"/>
      <c r="BG122"/>
      <c r="BH122"/>
      <c r="BI122"/>
      <c r="BJ122"/>
      <c r="BK122"/>
      <c r="BL122"/>
      <c r="BM122"/>
      <c r="BN122"/>
      <c r="BO122"/>
      <c r="BP122"/>
      <c r="BQ122"/>
      <c r="BR122"/>
      <c r="BS122"/>
      <c r="BT122"/>
      <c r="BV122"/>
      <c r="BW122"/>
      <c r="BX122"/>
      <c r="BY122"/>
      <c r="BZ122"/>
      <c r="CA122"/>
      <c r="CB122"/>
      <c r="IS122"/>
      <c r="IT122"/>
      <c r="IU122"/>
      <c r="IV122"/>
      <c r="IW122"/>
      <c r="IX122"/>
      <c r="IY122"/>
      <c r="IZ122"/>
      <c r="NP122" s="397"/>
      <c r="OW122"/>
      <c r="OX122"/>
      <c r="OY122"/>
      <c r="OZ122"/>
      <c r="PA122"/>
      <c r="PB122"/>
      <c r="PC122"/>
      <c r="PD122"/>
      <c r="PE122"/>
      <c r="PF122"/>
      <c r="PG122"/>
      <c r="PH122"/>
      <c r="PI122"/>
      <c r="PJ122"/>
      <c r="PK122"/>
      <c r="PL122"/>
      <c r="PM122"/>
      <c r="PN122"/>
      <c r="PO122"/>
      <c r="PP122"/>
      <c r="SZ122" s="555"/>
      <c r="TA122" s="555"/>
      <c r="TB122" s="555">
        <v>-1652861.5493199578</v>
      </c>
      <c r="TC122" s="555">
        <v>-6943797.2997090565</v>
      </c>
    </row>
    <row r="123" spans="20:543" x14ac:dyDescent="0.35">
      <c r="T123" s="241"/>
      <c r="U123" s="241"/>
      <c r="V123" s="895"/>
      <c r="W123" s="895"/>
      <c r="X123" s="895"/>
      <c r="Y123" s="895"/>
      <c r="Z123" s="895"/>
      <c r="AA123" s="341"/>
      <c r="AB123" s="341"/>
      <c r="AC123" s="341"/>
      <c r="AD123" s="341"/>
      <c r="AE123" s="341"/>
      <c r="AF123" s="341"/>
      <c r="AG123" s="867"/>
      <c r="AH123" s="867"/>
      <c r="AI123" s="867"/>
      <c r="AJ123" s="867"/>
      <c r="AL123"/>
      <c r="AM123"/>
      <c r="AN123"/>
      <c r="AO123"/>
      <c r="AP123"/>
      <c r="AQ123"/>
      <c r="AR123"/>
      <c r="AS123"/>
      <c r="AT123"/>
      <c r="AU123"/>
      <c r="AV123"/>
      <c r="AW123"/>
      <c r="AX123"/>
      <c r="AY123"/>
      <c r="AZ123"/>
      <c r="BA123"/>
      <c r="BB123"/>
      <c r="BD123"/>
      <c r="BE123"/>
      <c r="BF123"/>
      <c r="BG123"/>
      <c r="BH123"/>
      <c r="BI123"/>
      <c r="BJ123"/>
      <c r="BK123"/>
      <c r="BL123"/>
      <c r="BM123"/>
      <c r="BN123"/>
      <c r="BO123"/>
      <c r="BP123"/>
      <c r="BQ123"/>
      <c r="BR123"/>
      <c r="BS123"/>
      <c r="BT123"/>
      <c r="BV123"/>
      <c r="BW123"/>
      <c r="BX123"/>
      <c r="BY123"/>
      <c r="BZ123"/>
      <c r="CA123"/>
      <c r="CB123"/>
      <c r="IS123"/>
      <c r="IT123"/>
      <c r="IU123"/>
      <c r="IV123"/>
      <c r="IW123"/>
      <c r="IX123"/>
      <c r="IY123"/>
      <c r="IZ123"/>
      <c r="NP123" s="397"/>
      <c r="OW123"/>
      <c r="OX123"/>
      <c r="OY123"/>
      <c r="OZ123"/>
      <c r="PA123"/>
      <c r="PB123"/>
      <c r="PC123"/>
      <c r="PD123"/>
      <c r="PE123"/>
      <c r="PF123"/>
      <c r="PG123"/>
      <c r="PH123"/>
      <c r="PI123"/>
      <c r="PJ123"/>
      <c r="PK123"/>
      <c r="PL123"/>
      <c r="PM123"/>
      <c r="PN123"/>
      <c r="PO123"/>
      <c r="PP123"/>
      <c r="SZ123" s="560"/>
      <c r="TA123" s="560"/>
      <c r="TB123" s="560"/>
      <c r="TC123" s="560"/>
    </row>
    <row r="124" spans="20:543" ht="15" thickBot="1" x14ac:dyDescent="0.4">
      <c r="T124" s="241"/>
      <c r="U124" s="241"/>
      <c r="V124" s="895"/>
      <c r="W124" s="895"/>
      <c r="X124" s="895"/>
      <c r="Y124" s="895"/>
      <c r="Z124" s="895"/>
      <c r="AA124" s="341"/>
      <c r="AB124" s="341"/>
      <c r="AC124" s="341"/>
      <c r="AD124" s="341"/>
      <c r="AE124" s="341"/>
      <c r="AF124" s="341"/>
      <c r="AG124" s="867"/>
      <c r="AH124" s="867"/>
      <c r="AI124" s="867"/>
      <c r="AJ124" s="867"/>
      <c r="AL124"/>
      <c r="AM124"/>
      <c r="AN124"/>
      <c r="AO124"/>
      <c r="AP124"/>
      <c r="AQ124"/>
      <c r="AR124"/>
      <c r="AS124"/>
      <c r="AT124"/>
      <c r="AU124"/>
      <c r="AV124"/>
      <c r="AW124"/>
      <c r="AX124"/>
      <c r="AY124"/>
      <c r="AZ124"/>
      <c r="BA124"/>
      <c r="BB124"/>
      <c r="BD124"/>
      <c r="BE124"/>
      <c r="BF124"/>
      <c r="BG124"/>
      <c r="BH124"/>
      <c r="BI124"/>
      <c r="BJ124"/>
      <c r="BK124"/>
      <c r="BL124"/>
      <c r="BM124"/>
      <c r="BN124"/>
      <c r="BO124"/>
      <c r="BP124"/>
      <c r="BQ124"/>
      <c r="BR124"/>
      <c r="BS124"/>
      <c r="BT124"/>
      <c r="BV124"/>
      <c r="BW124"/>
      <c r="BX124"/>
      <c r="BY124"/>
      <c r="BZ124"/>
      <c r="CA124"/>
      <c r="CB124"/>
      <c r="IS124"/>
      <c r="IT124"/>
      <c r="IU124"/>
      <c r="IV124"/>
      <c r="IW124"/>
      <c r="IX124"/>
      <c r="IY124"/>
      <c r="IZ124"/>
      <c r="NP124" s="397"/>
      <c r="OW124"/>
      <c r="OX124"/>
      <c r="OY124"/>
      <c r="OZ124"/>
      <c r="PA124"/>
      <c r="PB124"/>
      <c r="PC124"/>
      <c r="PD124"/>
      <c r="PE124"/>
      <c r="PF124"/>
      <c r="PG124"/>
      <c r="PH124"/>
      <c r="PI124"/>
      <c r="PJ124"/>
      <c r="PK124"/>
      <c r="PL124"/>
      <c r="PM124"/>
      <c r="PN124"/>
      <c r="PO124"/>
      <c r="PP124"/>
      <c r="SZ124" s="559"/>
      <c r="TA124" s="559"/>
      <c r="TB124" s="559">
        <v>-6217907.7331560329</v>
      </c>
      <c r="TC124" s="559">
        <v>-26121904.127476931</v>
      </c>
    </row>
    <row r="125" spans="20:543" ht="15.5" thickTop="1" thickBot="1" x14ac:dyDescent="0.4">
      <c r="T125" s="241"/>
      <c r="U125" s="241"/>
      <c r="V125" s="895"/>
      <c r="W125" s="895"/>
      <c r="X125" s="895"/>
      <c r="Y125" s="895"/>
      <c r="Z125" s="895"/>
      <c r="AA125" s="341"/>
      <c r="AB125" s="341"/>
      <c r="AC125" s="341"/>
      <c r="AD125" s="341"/>
      <c r="AE125" s="341"/>
      <c r="AF125" s="341"/>
      <c r="AG125" s="901"/>
      <c r="AH125" s="901"/>
      <c r="AI125" s="901"/>
      <c r="AJ125" s="901"/>
      <c r="AL125"/>
      <c r="AM125"/>
      <c r="AN125"/>
      <c r="AO125"/>
      <c r="AP125"/>
      <c r="AQ125"/>
      <c r="AR125"/>
      <c r="AS125"/>
      <c r="AT125"/>
      <c r="AU125"/>
      <c r="AV125"/>
      <c r="AW125"/>
      <c r="AX125"/>
      <c r="AY125"/>
      <c r="AZ125"/>
      <c r="BA125"/>
      <c r="BB125"/>
      <c r="BD125"/>
      <c r="BE125"/>
      <c r="BF125"/>
      <c r="BG125"/>
      <c r="BH125"/>
      <c r="BI125"/>
      <c r="BJ125"/>
      <c r="BK125"/>
      <c r="BL125"/>
      <c r="BM125"/>
      <c r="BN125"/>
      <c r="BO125"/>
      <c r="BP125"/>
      <c r="BQ125"/>
      <c r="BR125"/>
      <c r="BS125"/>
      <c r="BT125"/>
      <c r="BV125"/>
      <c r="BW125"/>
      <c r="BX125"/>
      <c r="BY125"/>
      <c r="BZ125"/>
      <c r="CA125"/>
      <c r="CB125"/>
      <c r="IS125"/>
      <c r="IT125"/>
      <c r="IU125"/>
      <c r="IV125"/>
      <c r="IW125"/>
      <c r="IX125"/>
      <c r="IY125"/>
      <c r="IZ125"/>
      <c r="NP125" s="397"/>
      <c r="OW125"/>
      <c r="OX125"/>
      <c r="OY125"/>
      <c r="OZ125"/>
      <c r="PA125"/>
      <c r="PB125"/>
      <c r="PC125"/>
      <c r="PD125"/>
      <c r="PE125"/>
      <c r="PF125"/>
      <c r="PG125"/>
      <c r="PH125"/>
      <c r="PI125"/>
      <c r="PJ125"/>
      <c r="PK125"/>
      <c r="PL125"/>
      <c r="PM125"/>
      <c r="PN125"/>
      <c r="PO125"/>
      <c r="PP125"/>
      <c r="SZ125" s="558"/>
      <c r="TA125" s="558"/>
      <c r="TB125" s="558"/>
      <c r="TC125" s="558"/>
    </row>
    <row r="126" spans="20:543" ht="15" thickTop="1" x14ac:dyDescent="0.35">
      <c r="T126" s="241"/>
      <c r="U126" s="241"/>
      <c r="V126" s="895"/>
      <c r="W126" s="895"/>
      <c r="X126" s="895"/>
      <c r="Y126" s="895"/>
      <c r="Z126" s="895"/>
      <c r="AA126" s="341"/>
      <c r="AB126" s="341"/>
      <c r="AC126" s="341"/>
      <c r="AD126" s="341"/>
      <c r="AE126" s="341"/>
      <c r="AF126" s="341"/>
      <c r="AG126" s="866"/>
      <c r="AH126" s="866"/>
      <c r="AI126" s="866"/>
      <c r="AJ126" s="866"/>
      <c r="AL126"/>
      <c r="AM126"/>
      <c r="AN126"/>
      <c r="AO126"/>
      <c r="AP126"/>
      <c r="AQ126"/>
      <c r="AR126"/>
      <c r="AS126"/>
      <c r="AT126"/>
      <c r="AU126"/>
      <c r="AV126"/>
      <c r="AW126"/>
      <c r="AX126"/>
      <c r="AY126"/>
      <c r="AZ126"/>
      <c r="BA126"/>
      <c r="BB126"/>
      <c r="BD126"/>
      <c r="BE126"/>
      <c r="BF126"/>
      <c r="BG126"/>
      <c r="BH126"/>
      <c r="BI126"/>
      <c r="BJ126"/>
      <c r="BK126"/>
      <c r="BL126"/>
      <c r="BM126"/>
      <c r="BN126"/>
      <c r="BO126"/>
      <c r="BP126"/>
      <c r="BQ126"/>
      <c r="BR126"/>
      <c r="BS126"/>
      <c r="BT126"/>
      <c r="BV126"/>
      <c r="BW126"/>
      <c r="BX126"/>
      <c r="BY126"/>
      <c r="BZ126"/>
      <c r="CA126"/>
      <c r="CB126"/>
      <c r="IS126"/>
      <c r="IT126"/>
      <c r="IU126"/>
      <c r="IV126"/>
      <c r="IW126"/>
      <c r="IX126"/>
      <c r="IY126"/>
      <c r="IZ126"/>
      <c r="NP126" s="397"/>
      <c r="OW126"/>
      <c r="OX126"/>
      <c r="OY126"/>
      <c r="OZ126"/>
      <c r="PA126"/>
      <c r="PB126"/>
      <c r="PC126"/>
      <c r="PD126"/>
      <c r="PE126"/>
      <c r="PF126"/>
      <c r="PG126"/>
      <c r="PH126"/>
      <c r="PI126"/>
      <c r="PJ126"/>
      <c r="PK126"/>
      <c r="PL126"/>
      <c r="PM126"/>
      <c r="PN126"/>
      <c r="PO126"/>
      <c r="PP126"/>
      <c r="SZ126" s="557"/>
      <c r="TA126" s="557"/>
      <c r="TB126" s="557">
        <v>173511166.51301789</v>
      </c>
      <c r="TC126" s="557">
        <v>665059066.61902595</v>
      </c>
    </row>
    <row r="127" spans="20:543" x14ac:dyDescent="0.35">
      <c r="T127" s="241"/>
      <c r="U127" s="241"/>
      <c r="V127" s="895"/>
      <c r="W127" s="895"/>
      <c r="X127" s="895"/>
      <c r="Y127" s="895"/>
      <c r="Z127" s="895"/>
      <c r="AA127" s="341"/>
      <c r="AB127" s="341"/>
      <c r="AC127" s="341"/>
      <c r="AD127" s="341"/>
      <c r="AE127" s="341"/>
      <c r="AF127" s="341"/>
      <c r="AG127" s="902"/>
      <c r="AH127" s="902"/>
      <c r="AI127" s="902"/>
      <c r="AJ127" s="902"/>
      <c r="AL127"/>
      <c r="AM127"/>
      <c r="AN127"/>
      <c r="AO127"/>
      <c r="AP127"/>
      <c r="AQ127"/>
      <c r="AR127"/>
      <c r="AS127"/>
      <c r="AT127"/>
      <c r="AU127"/>
      <c r="AV127"/>
      <c r="AW127"/>
      <c r="AX127"/>
      <c r="AY127"/>
      <c r="AZ127"/>
      <c r="BA127"/>
      <c r="BB127"/>
      <c r="BD127"/>
      <c r="BE127"/>
      <c r="BF127"/>
      <c r="BG127"/>
      <c r="BH127"/>
      <c r="BI127"/>
      <c r="BJ127"/>
      <c r="BK127"/>
      <c r="BL127"/>
      <c r="BM127"/>
      <c r="BN127"/>
      <c r="BO127"/>
      <c r="BP127"/>
      <c r="BQ127"/>
      <c r="BR127"/>
      <c r="BS127"/>
      <c r="BT127"/>
      <c r="BV127"/>
      <c r="BW127"/>
      <c r="BX127"/>
      <c r="BY127"/>
      <c r="BZ127"/>
      <c r="CA127"/>
      <c r="CB127"/>
      <c r="IS127"/>
      <c r="IT127"/>
      <c r="IU127"/>
      <c r="IV127"/>
      <c r="IW127"/>
      <c r="IX127"/>
      <c r="IY127"/>
      <c r="IZ127"/>
      <c r="NP127" s="397"/>
      <c r="OW127"/>
      <c r="OX127"/>
      <c r="OY127"/>
      <c r="OZ127"/>
      <c r="PA127"/>
      <c r="PB127"/>
      <c r="PC127"/>
      <c r="PD127"/>
      <c r="PE127"/>
      <c r="PF127"/>
      <c r="PG127"/>
      <c r="PH127"/>
      <c r="PI127"/>
      <c r="PJ127"/>
      <c r="PK127"/>
      <c r="PL127"/>
      <c r="PM127"/>
      <c r="PN127"/>
      <c r="PO127"/>
      <c r="PP127"/>
      <c r="SZ127" s="556"/>
      <c r="TA127" s="556"/>
      <c r="TB127" s="556">
        <v>-29109479.608439997</v>
      </c>
      <c r="TC127" s="556">
        <v>-59460001.115079999</v>
      </c>
    </row>
    <row r="128" spans="20:543" x14ac:dyDescent="0.35">
      <c r="T128" s="241"/>
      <c r="U128" s="241"/>
      <c r="V128" s="895"/>
      <c r="W128" s="895"/>
      <c r="X128" s="895"/>
      <c r="Y128" s="895"/>
      <c r="Z128" s="895"/>
      <c r="AA128" s="341"/>
      <c r="AB128" s="341"/>
      <c r="AC128" s="341"/>
      <c r="AD128" s="341"/>
      <c r="AE128" s="341"/>
      <c r="AF128" s="341"/>
      <c r="AG128" s="869"/>
      <c r="AH128" s="869"/>
      <c r="AI128" s="869"/>
      <c r="AJ128" s="869"/>
      <c r="AL128"/>
      <c r="AM128"/>
      <c r="AN128"/>
      <c r="AO128"/>
      <c r="AP128"/>
      <c r="AQ128"/>
      <c r="AR128"/>
      <c r="AS128"/>
      <c r="AT128"/>
      <c r="AU128"/>
      <c r="AV128"/>
      <c r="AW128"/>
      <c r="AX128"/>
      <c r="AY128"/>
      <c r="AZ128"/>
      <c r="BA128"/>
      <c r="BB128"/>
      <c r="BD128"/>
      <c r="BE128"/>
      <c r="BF128"/>
      <c r="BG128"/>
      <c r="BH128"/>
      <c r="BI128"/>
      <c r="BJ128"/>
      <c r="BK128"/>
      <c r="BL128"/>
      <c r="BM128"/>
      <c r="BN128"/>
      <c r="BO128"/>
      <c r="BP128"/>
      <c r="BQ128"/>
      <c r="BR128"/>
      <c r="BS128"/>
      <c r="BT128"/>
      <c r="BV128"/>
      <c r="BW128"/>
      <c r="BX128"/>
      <c r="BY128"/>
      <c r="BZ128"/>
      <c r="CA128"/>
      <c r="CB128"/>
      <c r="IS128"/>
      <c r="IT128"/>
      <c r="IU128"/>
      <c r="IV128"/>
      <c r="IW128"/>
      <c r="IX128"/>
      <c r="IY128"/>
      <c r="IZ128"/>
      <c r="NP128" s="397"/>
      <c r="OW128"/>
      <c r="OX128"/>
      <c r="OY128"/>
      <c r="OZ128"/>
      <c r="PA128"/>
      <c r="PB128"/>
      <c r="PC128"/>
      <c r="PD128"/>
      <c r="PE128"/>
      <c r="PF128"/>
      <c r="PG128"/>
      <c r="PH128"/>
      <c r="PI128"/>
      <c r="PJ128"/>
      <c r="PK128"/>
      <c r="PL128"/>
      <c r="PM128"/>
      <c r="PN128"/>
      <c r="PO128"/>
      <c r="PP128"/>
      <c r="SZ128" s="555"/>
      <c r="TA128" s="555"/>
      <c r="TB128" s="555">
        <v>-8926753.4646099992</v>
      </c>
      <c r="TC128" s="555">
        <v>-21634996.429591998</v>
      </c>
    </row>
    <row r="129" spans="20:523" ht="15" thickBot="1" x14ac:dyDescent="0.4">
      <c r="T129" s="241"/>
      <c r="U129" s="241"/>
      <c r="V129" s="895"/>
      <c r="W129" s="895"/>
      <c r="X129" s="895"/>
      <c r="Y129" s="895"/>
      <c r="Z129" s="895"/>
      <c r="AA129" s="341"/>
      <c r="AB129" s="341"/>
      <c r="AC129" s="341"/>
      <c r="AD129" s="341"/>
      <c r="AE129" s="341"/>
      <c r="AF129" s="341"/>
      <c r="AG129" s="867"/>
      <c r="AH129" s="867"/>
      <c r="AI129" s="867"/>
      <c r="AJ129" s="867"/>
      <c r="AL129"/>
      <c r="AM129"/>
      <c r="AN129"/>
      <c r="AO129"/>
      <c r="AP129"/>
      <c r="AQ129"/>
      <c r="AR129"/>
      <c r="AS129"/>
      <c r="AT129"/>
      <c r="AU129"/>
      <c r="AV129"/>
      <c r="AW129"/>
      <c r="AX129"/>
      <c r="AY129"/>
      <c r="AZ129"/>
      <c r="BA129"/>
      <c r="BB129"/>
      <c r="BD129"/>
      <c r="BE129"/>
      <c r="BF129"/>
      <c r="BG129"/>
      <c r="BH129"/>
      <c r="BI129"/>
      <c r="BJ129"/>
      <c r="BK129"/>
      <c r="BL129"/>
      <c r="BM129"/>
      <c r="BN129"/>
      <c r="BO129"/>
      <c r="BP129"/>
      <c r="BQ129"/>
      <c r="BR129"/>
      <c r="BS129"/>
      <c r="BT129"/>
      <c r="IS129"/>
      <c r="IT129"/>
      <c r="IU129"/>
      <c r="IV129"/>
      <c r="IW129"/>
      <c r="IX129"/>
      <c r="IY129"/>
      <c r="IZ129"/>
      <c r="NP129" s="397"/>
      <c r="OW129"/>
      <c r="OX129"/>
      <c r="OY129"/>
      <c r="OZ129"/>
      <c r="PA129"/>
      <c r="PB129"/>
      <c r="PC129"/>
      <c r="PD129"/>
      <c r="PE129"/>
      <c r="PF129"/>
      <c r="PG129"/>
      <c r="PH129"/>
      <c r="PI129"/>
      <c r="PJ129"/>
      <c r="PK129"/>
      <c r="PL129"/>
      <c r="PM129"/>
      <c r="PN129"/>
      <c r="PO129"/>
      <c r="PP129"/>
      <c r="SZ129" s="553"/>
      <c r="TA129" s="553"/>
      <c r="TB129" s="553">
        <v>135474933.4399679</v>
      </c>
      <c r="TC129" s="553">
        <v>583964069.07435393</v>
      </c>
    </row>
    <row r="130" spans="20:523" ht="15.5" thickTop="1" thickBot="1" x14ac:dyDescent="0.4">
      <c r="T130" s="241"/>
      <c r="U130" s="241"/>
      <c r="V130" s="895"/>
      <c r="W130" s="895"/>
      <c r="X130" s="895"/>
      <c r="Y130" s="895"/>
      <c r="Z130" s="895"/>
      <c r="AA130" s="341"/>
      <c r="AB130" s="341"/>
      <c r="AC130" s="341"/>
      <c r="AD130" s="341"/>
      <c r="AE130" s="341"/>
      <c r="AF130" s="341"/>
      <c r="AG130" s="903"/>
      <c r="AH130" s="903"/>
      <c r="AI130" s="903"/>
      <c r="AJ130" s="903"/>
      <c r="AL130"/>
      <c r="AM130"/>
      <c r="AN130"/>
      <c r="AO130"/>
      <c r="AP130"/>
      <c r="AQ130"/>
      <c r="AR130"/>
      <c r="AS130"/>
      <c r="AT130"/>
      <c r="AU130"/>
      <c r="AV130"/>
      <c r="AW130"/>
      <c r="AX130"/>
      <c r="AY130"/>
      <c r="AZ130"/>
      <c r="BA130"/>
      <c r="BB130"/>
      <c r="BD130"/>
      <c r="BE130"/>
      <c r="BF130"/>
      <c r="BG130"/>
      <c r="BH130"/>
      <c r="BI130"/>
      <c r="BJ130"/>
      <c r="BK130"/>
      <c r="BL130"/>
      <c r="BM130"/>
      <c r="BN130"/>
      <c r="BO130"/>
      <c r="BP130"/>
      <c r="BQ130"/>
      <c r="BR130"/>
      <c r="BS130"/>
      <c r="BT130"/>
      <c r="IS130"/>
      <c r="IT130"/>
      <c r="IU130"/>
      <c r="IV130"/>
      <c r="IW130"/>
      <c r="IX130"/>
      <c r="IY130"/>
      <c r="IZ130"/>
      <c r="NP130" s="397"/>
      <c r="OW130"/>
      <c r="OX130"/>
      <c r="OY130"/>
      <c r="OZ130"/>
      <c r="PA130"/>
      <c r="PB130"/>
      <c r="PC130"/>
      <c r="PD130"/>
      <c r="PE130"/>
      <c r="PF130"/>
      <c r="PG130"/>
      <c r="PH130"/>
      <c r="PI130"/>
      <c r="PJ130"/>
      <c r="PK130"/>
      <c r="PL130"/>
      <c r="PM130"/>
      <c r="PN130"/>
      <c r="PO130"/>
      <c r="PP130"/>
      <c r="SZ130" s="558"/>
      <c r="TA130" s="558"/>
      <c r="TB130" s="558"/>
      <c r="TC130" s="558"/>
    </row>
    <row r="131" spans="20:523" ht="15" thickTop="1" x14ac:dyDescent="0.35">
      <c r="T131" s="241"/>
      <c r="U131" s="241"/>
      <c r="V131" s="895"/>
      <c r="W131" s="895"/>
      <c r="X131" s="895"/>
      <c r="Y131" s="895"/>
      <c r="Z131" s="895"/>
      <c r="AA131" s="341"/>
      <c r="AB131" s="341"/>
      <c r="AC131" s="341"/>
      <c r="AD131" s="341"/>
      <c r="AE131" s="341"/>
      <c r="AF131" s="341"/>
      <c r="AG131" s="904"/>
      <c r="AH131" s="904"/>
      <c r="AI131" s="904"/>
      <c r="AJ131" s="904"/>
      <c r="AL131"/>
      <c r="AM131"/>
      <c r="AN131"/>
      <c r="AO131"/>
      <c r="AP131"/>
      <c r="AQ131"/>
      <c r="AR131"/>
      <c r="AS131"/>
      <c r="AT131"/>
      <c r="AU131"/>
      <c r="AV131"/>
      <c r="AW131"/>
      <c r="AX131"/>
      <c r="AY131"/>
      <c r="AZ131"/>
      <c r="BA131"/>
      <c r="BB131"/>
      <c r="BD131"/>
      <c r="BE131"/>
      <c r="BF131"/>
      <c r="BG131"/>
      <c r="BH131"/>
      <c r="BI131"/>
      <c r="BJ131"/>
      <c r="BK131"/>
      <c r="BL131"/>
      <c r="BM131"/>
      <c r="BN131"/>
      <c r="BO131"/>
      <c r="BP131"/>
      <c r="BQ131"/>
      <c r="BR131"/>
      <c r="BS131"/>
      <c r="BT131"/>
      <c r="IS131"/>
      <c r="IT131"/>
      <c r="IU131"/>
      <c r="IV131"/>
      <c r="IW131"/>
      <c r="IX131"/>
      <c r="IY131"/>
      <c r="IZ131"/>
      <c r="NP131" s="397"/>
      <c r="OW131"/>
      <c r="OX131"/>
      <c r="OY131"/>
      <c r="OZ131"/>
      <c r="PA131"/>
      <c r="PB131"/>
      <c r="PC131"/>
      <c r="PD131"/>
      <c r="PE131"/>
      <c r="PF131"/>
      <c r="PG131"/>
      <c r="PH131"/>
      <c r="PI131"/>
      <c r="PJ131"/>
      <c r="PK131"/>
      <c r="PL131"/>
      <c r="PM131"/>
      <c r="PN131"/>
      <c r="PO131"/>
      <c r="PP131"/>
      <c r="SZ131" s="558"/>
      <c r="TA131" s="558"/>
      <c r="TB131" s="558"/>
      <c r="TC131" s="558"/>
    </row>
    <row r="132" spans="20:523" x14ac:dyDescent="0.35">
      <c r="T132" s="241"/>
      <c r="U132" s="241"/>
      <c r="V132" s="895"/>
      <c r="W132" s="895"/>
      <c r="X132" s="895"/>
      <c r="Y132" s="895"/>
      <c r="Z132" s="895"/>
      <c r="AA132" s="341"/>
      <c r="AB132" s="341"/>
      <c r="AC132" s="341"/>
      <c r="AD132" s="341"/>
      <c r="AE132" s="341"/>
      <c r="AF132" s="341"/>
      <c r="AG132" s="866"/>
      <c r="AH132" s="866"/>
      <c r="AI132" s="866"/>
      <c r="AJ132" s="866"/>
      <c r="AL132"/>
      <c r="AM132"/>
      <c r="AN132"/>
      <c r="AO132"/>
      <c r="AP132"/>
      <c r="AQ132"/>
      <c r="AR132"/>
      <c r="AS132"/>
      <c r="AT132"/>
      <c r="AU132"/>
      <c r="AV132"/>
      <c r="AW132"/>
      <c r="AX132"/>
      <c r="AY132"/>
      <c r="AZ132"/>
      <c r="BA132"/>
      <c r="BB132"/>
      <c r="BD132"/>
      <c r="BE132"/>
      <c r="BF132"/>
      <c r="BG132"/>
      <c r="BH132"/>
      <c r="BI132"/>
      <c r="BJ132"/>
      <c r="BK132"/>
      <c r="BL132"/>
      <c r="BM132"/>
      <c r="BN132"/>
      <c r="BO132"/>
      <c r="BP132"/>
      <c r="BQ132"/>
      <c r="BR132"/>
      <c r="BS132"/>
      <c r="BT132"/>
      <c r="IS132"/>
      <c r="IT132"/>
      <c r="IU132"/>
      <c r="IV132"/>
      <c r="IW132"/>
      <c r="IX132"/>
      <c r="IY132"/>
      <c r="IZ132"/>
      <c r="NP132" s="397"/>
      <c r="OW132"/>
      <c r="OX132"/>
      <c r="OY132"/>
      <c r="OZ132"/>
      <c r="PA132"/>
      <c r="PB132"/>
      <c r="PC132"/>
      <c r="PD132"/>
      <c r="PE132"/>
      <c r="PF132"/>
      <c r="PG132"/>
      <c r="PH132"/>
      <c r="PI132"/>
      <c r="PJ132"/>
      <c r="PK132"/>
      <c r="PL132"/>
      <c r="PM132"/>
      <c r="PN132"/>
      <c r="PO132"/>
      <c r="PP132"/>
      <c r="SZ132" s="557"/>
      <c r="TA132" s="557"/>
      <c r="TB132" s="564">
        <v>2325963.2900000233</v>
      </c>
      <c r="TC132" s="557">
        <v>11515728.170000041</v>
      </c>
    </row>
    <row r="133" spans="20:523" x14ac:dyDescent="0.35">
      <c r="T133" s="241"/>
      <c r="U133" s="241"/>
      <c r="V133" s="895"/>
      <c r="W133" s="895"/>
      <c r="X133" s="895"/>
      <c r="Y133" s="895"/>
      <c r="Z133" s="895"/>
      <c r="AA133" s="341"/>
      <c r="AB133" s="341"/>
      <c r="AC133" s="341"/>
      <c r="AD133" s="341"/>
      <c r="AE133" s="341"/>
      <c r="AF133" s="341"/>
      <c r="AG133" s="866"/>
      <c r="AH133" s="866"/>
      <c r="AI133" s="866"/>
      <c r="AJ133" s="866"/>
      <c r="AL133"/>
      <c r="AM133"/>
      <c r="AN133"/>
      <c r="AO133"/>
      <c r="AP133"/>
      <c r="AQ133"/>
      <c r="AR133"/>
      <c r="AS133"/>
      <c r="AT133"/>
      <c r="AU133"/>
      <c r="AV133"/>
      <c r="AW133"/>
      <c r="AX133"/>
      <c r="AY133"/>
      <c r="AZ133"/>
      <c r="BA133"/>
      <c r="BB133"/>
      <c r="BD133"/>
      <c r="BE133"/>
      <c r="BF133"/>
      <c r="BG133"/>
      <c r="BH133"/>
      <c r="BI133"/>
      <c r="BJ133"/>
      <c r="BK133"/>
      <c r="BL133"/>
      <c r="BM133"/>
      <c r="BN133"/>
      <c r="BO133"/>
      <c r="BP133"/>
      <c r="BQ133"/>
      <c r="BR133"/>
      <c r="BS133"/>
      <c r="BT133"/>
      <c r="IS133"/>
      <c r="IT133"/>
      <c r="IU133"/>
      <c r="IV133"/>
      <c r="IW133"/>
      <c r="IX133"/>
      <c r="IY133"/>
      <c r="IZ133"/>
      <c r="NP133" s="397"/>
      <c r="OW133"/>
      <c r="OX133"/>
      <c r="OY133"/>
      <c r="OZ133"/>
      <c r="PA133"/>
      <c r="PB133"/>
      <c r="PC133"/>
      <c r="PD133"/>
      <c r="PE133"/>
      <c r="PF133"/>
      <c r="PG133"/>
      <c r="PH133"/>
      <c r="PI133"/>
      <c r="PJ133"/>
      <c r="PK133"/>
      <c r="PL133"/>
      <c r="PM133"/>
      <c r="PN133"/>
      <c r="PO133"/>
      <c r="PP133"/>
      <c r="SZ133" s="556"/>
      <c r="TA133" s="556"/>
      <c r="TB133" s="563">
        <v>0</v>
      </c>
      <c r="TC133" s="556">
        <v>0</v>
      </c>
    </row>
    <row r="134" spans="20:523" x14ac:dyDescent="0.35">
      <c r="T134" s="241"/>
      <c r="U134" s="241"/>
      <c r="V134" s="895"/>
      <c r="W134" s="895"/>
      <c r="X134" s="895"/>
      <c r="Y134" s="895"/>
      <c r="Z134" s="895"/>
      <c r="AA134" s="341"/>
      <c r="AB134" s="341"/>
      <c r="AC134" s="341"/>
      <c r="AD134" s="341"/>
      <c r="AE134" s="341"/>
      <c r="AF134" s="341"/>
      <c r="AG134" s="866"/>
      <c r="AH134" s="866"/>
      <c r="AI134" s="866"/>
      <c r="AJ134" s="866"/>
      <c r="AL134"/>
      <c r="AM134"/>
      <c r="AN134"/>
      <c r="AO134"/>
      <c r="AP134"/>
      <c r="AQ134"/>
      <c r="AR134"/>
      <c r="AS134"/>
      <c r="AT134"/>
      <c r="AU134"/>
      <c r="AV134"/>
      <c r="AW134"/>
      <c r="AX134"/>
      <c r="AY134"/>
      <c r="AZ134"/>
      <c r="BA134"/>
      <c r="BB134"/>
      <c r="IS134"/>
      <c r="IT134"/>
      <c r="IU134"/>
      <c r="IV134"/>
      <c r="IW134"/>
      <c r="IX134"/>
      <c r="IY134"/>
      <c r="IZ134"/>
      <c r="NP134" s="397"/>
      <c r="OW134"/>
      <c r="OX134"/>
      <c r="OY134"/>
      <c r="OZ134"/>
      <c r="PA134"/>
      <c r="PB134"/>
      <c r="PC134"/>
      <c r="PD134"/>
      <c r="PE134"/>
      <c r="PF134"/>
      <c r="PG134"/>
      <c r="PH134"/>
      <c r="PI134"/>
      <c r="PJ134"/>
      <c r="PK134"/>
      <c r="PL134"/>
      <c r="PM134"/>
      <c r="PN134"/>
      <c r="PO134"/>
      <c r="PP134"/>
      <c r="SZ134" s="556"/>
      <c r="TA134" s="556"/>
      <c r="TB134" s="563">
        <v>0</v>
      </c>
      <c r="TC134" s="556">
        <v>0</v>
      </c>
    </row>
    <row r="135" spans="20:523" x14ac:dyDescent="0.35">
      <c r="T135" s="241"/>
      <c r="U135" s="241"/>
      <c r="V135" s="895"/>
      <c r="W135" s="895"/>
      <c r="X135" s="895"/>
      <c r="Y135" s="895"/>
      <c r="Z135" s="895"/>
      <c r="AA135" s="341"/>
      <c r="AB135" s="341"/>
      <c r="AC135" s="341"/>
      <c r="AD135" s="341"/>
      <c r="AE135" s="341"/>
      <c r="AF135" s="341"/>
      <c r="AG135" s="866"/>
      <c r="AH135" s="866"/>
      <c r="AI135" s="866"/>
      <c r="AJ135" s="866"/>
      <c r="AL135"/>
      <c r="AM135"/>
      <c r="AN135"/>
      <c r="AO135"/>
      <c r="AP135"/>
      <c r="AQ135"/>
      <c r="AR135"/>
      <c r="AS135"/>
      <c r="AT135"/>
      <c r="AU135"/>
      <c r="AV135"/>
      <c r="AW135"/>
      <c r="AX135"/>
      <c r="AY135"/>
      <c r="AZ135"/>
      <c r="BA135"/>
      <c r="BB135"/>
      <c r="IS135"/>
      <c r="IT135"/>
      <c r="IU135"/>
      <c r="IV135"/>
      <c r="IW135"/>
      <c r="IX135"/>
      <c r="IY135"/>
      <c r="IZ135"/>
      <c r="NP135" s="397"/>
      <c r="OW135"/>
      <c r="OX135"/>
      <c r="OY135"/>
      <c r="OZ135"/>
      <c r="PA135"/>
      <c r="PB135"/>
      <c r="PC135"/>
      <c r="PD135"/>
      <c r="PE135"/>
      <c r="PF135"/>
      <c r="PG135"/>
      <c r="PH135"/>
      <c r="PI135"/>
      <c r="PJ135"/>
      <c r="PK135"/>
      <c r="PL135"/>
      <c r="PM135"/>
      <c r="PN135"/>
      <c r="PO135"/>
      <c r="PP135"/>
      <c r="SZ135" s="555"/>
      <c r="TA135" s="555"/>
      <c r="TB135" s="562">
        <v>0</v>
      </c>
      <c r="TC135" s="555">
        <v>0</v>
      </c>
    </row>
    <row r="136" spans="20:523" x14ac:dyDescent="0.35">
      <c r="T136" s="241"/>
      <c r="U136" s="241"/>
      <c r="V136" s="895"/>
      <c r="W136" s="895"/>
      <c r="X136" s="895"/>
      <c r="Y136" s="895"/>
      <c r="Z136" s="895"/>
      <c r="AA136" s="341"/>
      <c r="AB136" s="341"/>
      <c r="AC136" s="341"/>
      <c r="AD136" s="341"/>
      <c r="AE136" s="341"/>
      <c r="AF136" s="341"/>
      <c r="AG136" s="866"/>
      <c r="AH136" s="866"/>
      <c r="AI136" s="866"/>
      <c r="AJ136" s="866"/>
      <c r="AL136"/>
      <c r="AM136"/>
      <c r="AN136"/>
      <c r="AO136"/>
      <c r="AP136"/>
      <c r="AQ136"/>
      <c r="AR136"/>
      <c r="AS136"/>
      <c r="AT136"/>
      <c r="AU136"/>
      <c r="AV136"/>
      <c r="AW136"/>
      <c r="AX136"/>
      <c r="AY136"/>
      <c r="AZ136"/>
      <c r="BA136"/>
      <c r="BB136"/>
      <c r="IS136"/>
      <c r="IT136"/>
      <c r="IU136"/>
      <c r="IV136"/>
      <c r="IW136"/>
      <c r="IX136"/>
      <c r="IY136"/>
      <c r="IZ136"/>
      <c r="NP136" s="397"/>
      <c r="OW136"/>
      <c r="OX136"/>
      <c r="OY136"/>
      <c r="OZ136"/>
      <c r="PA136"/>
      <c r="PB136"/>
      <c r="PC136"/>
      <c r="PD136"/>
      <c r="PE136"/>
      <c r="PF136"/>
      <c r="PG136"/>
      <c r="PH136"/>
      <c r="PI136"/>
      <c r="PJ136"/>
      <c r="PK136"/>
      <c r="PL136"/>
      <c r="PM136"/>
      <c r="PN136"/>
      <c r="PO136"/>
      <c r="PP136"/>
      <c r="SZ136" s="556"/>
      <c r="TA136" s="556"/>
      <c r="TB136" s="556">
        <v>2325963.2900000233</v>
      </c>
      <c r="TC136" s="556">
        <v>11515728.170000041</v>
      </c>
    </row>
    <row r="137" spans="20:523" x14ac:dyDescent="0.35">
      <c r="T137" s="241"/>
      <c r="U137" s="241"/>
      <c r="V137" s="895"/>
      <c r="W137" s="895"/>
      <c r="X137" s="895"/>
      <c r="Y137" s="895"/>
      <c r="Z137" s="895"/>
      <c r="AA137" s="341"/>
      <c r="AB137" s="341"/>
      <c r="AC137" s="341"/>
      <c r="AD137" s="341"/>
      <c r="AE137" s="341"/>
      <c r="AF137" s="341"/>
      <c r="AG137" s="866"/>
      <c r="AH137" s="866"/>
      <c r="AI137" s="866"/>
      <c r="AJ137" s="866"/>
      <c r="IS137"/>
      <c r="IT137"/>
      <c r="IU137"/>
      <c r="IV137"/>
      <c r="IW137"/>
      <c r="IX137"/>
      <c r="IY137"/>
      <c r="IZ137"/>
      <c r="NP137" s="397"/>
      <c r="OW137"/>
      <c r="OX137"/>
      <c r="OY137"/>
      <c r="OZ137"/>
      <c r="PA137"/>
      <c r="PB137"/>
      <c r="PC137"/>
      <c r="PD137"/>
      <c r="PE137"/>
      <c r="PF137"/>
      <c r="PG137"/>
      <c r="PH137"/>
      <c r="PI137"/>
      <c r="PJ137"/>
      <c r="PK137"/>
      <c r="PL137"/>
      <c r="PM137"/>
      <c r="PN137"/>
      <c r="PO137"/>
      <c r="PP137"/>
      <c r="SZ137" s="556"/>
      <c r="TA137" s="556"/>
      <c r="TB137" s="556"/>
      <c r="TC137" s="556"/>
    </row>
    <row r="138" spans="20:523" x14ac:dyDescent="0.35">
      <c r="T138" s="241"/>
      <c r="U138" s="241"/>
      <c r="V138" s="895"/>
      <c r="W138" s="895"/>
      <c r="X138" s="895"/>
      <c r="Y138" s="895"/>
      <c r="Z138" s="895"/>
      <c r="AA138" s="341"/>
      <c r="AB138" s="341"/>
      <c r="AC138" s="341"/>
      <c r="AD138" s="341"/>
      <c r="AE138" s="341"/>
      <c r="AF138" s="341"/>
      <c r="AG138" s="866"/>
      <c r="AH138" s="866"/>
      <c r="AI138" s="866"/>
      <c r="AJ138" s="866"/>
      <c r="IS138"/>
      <c r="IT138"/>
      <c r="IU138"/>
      <c r="IV138"/>
      <c r="IW138"/>
      <c r="IX138"/>
      <c r="IY138"/>
      <c r="IZ138"/>
      <c r="NP138" s="397"/>
      <c r="OW138"/>
      <c r="OX138"/>
      <c r="OY138"/>
      <c r="OZ138"/>
      <c r="PA138"/>
      <c r="PB138"/>
      <c r="PC138"/>
      <c r="PD138"/>
      <c r="PE138"/>
      <c r="PF138"/>
      <c r="PG138"/>
      <c r="PH138"/>
      <c r="PI138"/>
      <c r="PJ138"/>
      <c r="PK138"/>
      <c r="PL138"/>
      <c r="PM138"/>
      <c r="PN138"/>
      <c r="PO138"/>
      <c r="PP138"/>
      <c r="SZ138" s="556"/>
      <c r="TA138" s="556"/>
      <c r="TB138" s="556">
        <v>2325963.2900000233</v>
      </c>
      <c r="TC138" s="556">
        <v>11515728.170000041</v>
      </c>
    </row>
    <row r="139" spans="20:523" ht="15" thickBot="1" x14ac:dyDescent="0.4">
      <c r="T139" s="241"/>
      <c r="U139" s="241"/>
      <c r="V139" s="895"/>
      <c r="W139" s="895"/>
      <c r="X139" s="895"/>
      <c r="Y139" s="895"/>
      <c r="Z139" s="895"/>
      <c r="AA139" s="341"/>
      <c r="AB139" s="341"/>
      <c r="AC139" s="341"/>
      <c r="AD139" s="341"/>
      <c r="AE139" s="341"/>
      <c r="AF139" s="341"/>
      <c r="AG139" s="903"/>
      <c r="AH139" s="903"/>
      <c r="AI139" s="903"/>
      <c r="AJ139" s="903"/>
      <c r="IS139"/>
      <c r="IT139"/>
      <c r="IU139"/>
      <c r="IV139"/>
      <c r="IW139"/>
      <c r="IX139"/>
      <c r="IY139"/>
      <c r="IZ139"/>
      <c r="NP139" s="397"/>
      <c r="OW139"/>
      <c r="OX139"/>
      <c r="OY139"/>
      <c r="OZ139"/>
      <c r="PA139"/>
      <c r="PB139"/>
      <c r="PC139"/>
      <c r="PD139"/>
      <c r="PE139"/>
      <c r="PF139"/>
      <c r="PG139"/>
      <c r="PH139"/>
      <c r="PI139"/>
      <c r="PJ139"/>
      <c r="PK139"/>
      <c r="PL139"/>
      <c r="PM139"/>
      <c r="PN139"/>
      <c r="PO139"/>
      <c r="PP139"/>
      <c r="SZ139" s="561"/>
      <c r="TA139" s="561"/>
      <c r="TB139" s="561"/>
      <c r="TC139" s="561"/>
    </row>
    <row r="140" spans="20:523" ht="15" thickTop="1" x14ac:dyDescent="0.35">
      <c r="T140" s="241"/>
      <c r="U140" s="241"/>
      <c r="V140" s="895"/>
      <c r="W140" s="895"/>
      <c r="X140" s="895"/>
      <c r="Y140" s="895"/>
      <c r="Z140" s="895"/>
      <c r="AA140" s="341"/>
      <c r="AB140" s="341"/>
      <c r="AC140" s="341"/>
      <c r="AD140" s="341"/>
      <c r="AE140" s="341"/>
      <c r="AF140" s="341"/>
      <c r="AG140" s="905"/>
      <c r="AH140" s="905"/>
      <c r="AI140" s="905"/>
      <c r="AJ140" s="905"/>
      <c r="IS140"/>
      <c r="IT140"/>
      <c r="IU140"/>
      <c r="IV140"/>
      <c r="IW140"/>
      <c r="IX140"/>
      <c r="IY140"/>
      <c r="IZ140"/>
      <c r="NP140" s="397"/>
      <c r="OW140"/>
      <c r="OX140"/>
      <c r="OY140"/>
      <c r="OZ140"/>
      <c r="PA140"/>
      <c r="PB140"/>
      <c r="PC140"/>
      <c r="PD140"/>
      <c r="PE140"/>
      <c r="PF140"/>
      <c r="PG140"/>
      <c r="PH140"/>
      <c r="PI140"/>
      <c r="PJ140"/>
      <c r="PK140"/>
      <c r="PL140"/>
      <c r="PM140"/>
      <c r="PN140"/>
      <c r="PO140"/>
      <c r="PP140"/>
      <c r="SZ140" s="555"/>
      <c r="TA140" s="555"/>
      <c r="TB140" s="555">
        <v>-488452.29090000485</v>
      </c>
      <c r="TC140" s="555">
        <v>-2418302.9157000086</v>
      </c>
    </row>
    <row r="141" spans="20:523" x14ac:dyDescent="0.35">
      <c r="T141" s="241"/>
      <c r="U141" s="241"/>
      <c r="V141" s="895"/>
      <c r="W141" s="895"/>
      <c r="X141" s="895"/>
      <c r="Y141" s="895"/>
      <c r="Z141" s="895"/>
      <c r="AA141" s="341"/>
      <c r="AB141" s="341"/>
      <c r="AC141" s="341"/>
      <c r="AD141" s="341"/>
      <c r="AE141" s="341"/>
      <c r="AF141" s="341"/>
      <c r="AG141" s="883"/>
      <c r="AH141" s="883"/>
      <c r="AI141" s="883"/>
      <c r="AJ141" s="883"/>
      <c r="NP141" s="397"/>
      <c r="OW141"/>
      <c r="OX141"/>
      <c r="OY141"/>
      <c r="OZ141"/>
      <c r="PA141"/>
      <c r="PB141"/>
      <c r="PC141"/>
      <c r="PD141"/>
      <c r="PE141"/>
      <c r="PF141"/>
      <c r="PG141"/>
      <c r="PH141"/>
      <c r="PI141"/>
      <c r="PJ141"/>
      <c r="PK141"/>
      <c r="PL141"/>
      <c r="PM141"/>
      <c r="PN141"/>
      <c r="PO141"/>
      <c r="PP141"/>
      <c r="SZ141" s="560"/>
      <c r="TA141" s="560"/>
      <c r="TB141" s="560"/>
      <c r="TC141" s="560"/>
    </row>
    <row r="142" spans="20:523" ht="15" thickBot="1" x14ac:dyDescent="0.4">
      <c r="T142" s="241"/>
      <c r="U142" s="241"/>
      <c r="V142" s="895"/>
      <c r="W142" s="895"/>
      <c r="X142" s="895"/>
      <c r="Y142" s="895"/>
      <c r="Z142" s="895"/>
      <c r="AA142" s="341"/>
      <c r="AB142" s="341"/>
      <c r="AC142" s="341"/>
      <c r="AD142" s="341"/>
      <c r="AE142" s="341"/>
      <c r="AF142" s="341"/>
      <c r="AG142" s="883"/>
      <c r="AH142" s="883"/>
      <c r="AI142" s="883"/>
      <c r="AJ142" s="883"/>
      <c r="NP142" s="397"/>
      <c r="OW142"/>
      <c r="OX142"/>
      <c r="OY142"/>
      <c r="OZ142"/>
      <c r="PA142"/>
      <c r="PB142"/>
      <c r="PC142"/>
      <c r="PD142"/>
      <c r="PE142"/>
      <c r="PF142"/>
      <c r="PG142"/>
      <c r="PH142"/>
      <c r="PI142"/>
      <c r="PJ142"/>
      <c r="PK142"/>
      <c r="PL142"/>
      <c r="PM142"/>
      <c r="PN142"/>
      <c r="PO142"/>
      <c r="PP142"/>
      <c r="SZ142" s="559"/>
      <c r="TA142" s="559"/>
      <c r="TB142" s="559">
        <v>-1837510.9991000185</v>
      </c>
      <c r="TC142" s="559">
        <v>-9097425.2543000318</v>
      </c>
    </row>
    <row r="143" spans="20:523" ht="15" thickTop="1" x14ac:dyDescent="0.35">
      <c r="T143" s="241"/>
      <c r="U143" s="241"/>
      <c r="V143" s="895"/>
      <c r="W143" s="895"/>
      <c r="X143" s="895"/>
      <c r="Y143" s="895"/>
      <c r="Z143" s="895"/>
      <c r="AA143" s="341"/>
      <c r="AB143" s="341"/>
      <c r="AC143" s="341"/>
      <c r="AD143" s="341"/>
      <c r="AE143" s="341"/>
      <c r="AF143" s="341"/>
      <c r="AG143" s="906"/>
      <c r="AH143" s="906"/>
      <c r="AI143" s="906"/>
      <c r="AJ143" s="906"/>
      <c r="NP143" s="397"/>
      <c r="OW143"/>
      <c r="OX143"/>
      <c r="OY143"/>
      <c r="OZ143"/>
      <c r="PA143"/>
      <c r="PB143"/>
      <c r="PC143"/>
      <c r="PD143"/>
      <c r="PE143"/>
      <c r="PF143"/>
      <c r="PG143"/>
      <c r="PH143"/>
      <c r="PI143"/>
      <c r="PJ143"/>
      <c r="PK143"/>
      <c r="PL143"/>
      <c r="PM143"/>
      <c r="PN143"/>
      <c r="PO143"/>
      <c r="PP143"/>
      <c r="SZ143" s="558"/>
      <c r="TA143" s="558"/>
      <c r="TB143" s="558"/>
      <c r="TC143" s="558"/>
    </row>
    <row r="144" spans="20:523" x14ac:dyDescent="0.35">
      <c r="T144" s="241"/>
      <c r="U144" s="241"/>
      <c r="V144" s="895"/>
      <c r="W144" s="895"/>
      <c r="X144" s="895"/>
      <c r="Y144" s="895"/>
      <c r="Z144" s="895"/>
      <c r="AA144" s="341"/>
      <c r="AB144" s="341"/>
      <c r="AC144" s="341"/>
      <c r="AD144" s="341"/>
      <c r="AE144" s="341"/>
      <c r="AF144" s="341"/>
      <c r="AG144" s="907"/>
      <c r="AH144" s="907"/>
      <c r="AI144" s="907"/>
      <c r="AJ144" s="907"/>
      <c r="NP144" s="397"/>
      <c r="OW144"/>
      <c r="OX144"/>
      <c r="OY144"/>
      <c r="OZ144"/>
      <c r="PA144"/>
      <c r="PB144"/>
      <c r="PC144"/>
      <c r="PD144"/>
      <c r="PE144"/>
      <c r="PF144"/>
      <c r="PG144"/>
      <c r="PH144"/>
      <c r="PI144"/>
      <c r="PJ144"/>
      <c r="PK144"/>
      <c r="PL144"/>
      <c r="PM144"/>
      <c r="PN144"/>
      <c r="PO144"/>
      <c r="PP144"/>
      <c r="SZ144" s="557"/>
      <c r="TA144" s="557"/>
      <c r="TB144" s="557">
        <v>85647742.719999969</v>
      </c>
      <c r="TC144" s="557">
        <v>408123404.95999998</v>
      </c>
    </row>
    <row r="145" spans="20:523" x14ac:dyDescent="0.35">
      <c r="T145" s="241"/>
      <c r="U145" s="241"/>
      <c r="V145" s="895"/>
      <c r="W145" s="895"/>
      <c r="X145" s="895"/>
      <c r="Y145" s="895"/>
      <c r="Z145" s="895"/>
      <c r="AA145" s="341"/>
      <c r="AB145" s="341"/>
      <c r="AC145" s="341"/>
      <c r="AD145" s="341"/>
      <c r="AE145" s="341"/>
      <c r="AF145" s="341"/>
      <c r="AG145" s="908"/>
      <c r="AH145" s="908"/>
      <c r="AI145" s="908"/>
      <c r="AJ145" s="908"/>
      <c r="NP145" s="397"/>
      <c r="OW145"/>
      <c r="OX145"/>
      <c r="OY145"/>
      <c r="OZ145"/>
      <c r="PA145"/>
      <c r="PB145"/>
      <c r="PC145"/>
      <c r="PD145"/>
      <c r="PE145"/>
      <c r="PF145"/>
      <c r="PG145"/>
      <c r="PH145"/>
      <c r="PI145"/>
      <c r="PJ145"/>
      <c r="PK145"/>
      <c r="PL145"/>
      <c r="PM145"/>
      <c r="PN145"/>
      <c r="PO145"/>
      <c r="PP145"/>
      <c r="SZ145" s="556"/>
      <c r="TA145" s="556"/>
      <c r="TB145" s="556">
        <v>-10374414.870000005</v>
      </c>
      <c r="TC145" s="556">
        <v>-24750370.200000007</v>
      </c>
    </row>
    <row r="146" spans="20:523" x14ac:dyDescent="0.35">
      <c r="T146" s="241"/>
      <c r="U146" s="241"/>
      <c r="V146" s="895"/>
      <c r="W146" s="895"/>
      <c r="X146" s="895"/>
      <c r="Y146" s="895"/>
      <c r="Z146" s="895"/>
      <c r="AA146" s="341"/>
      <c r="AB146" s="341"/>
      <c r="AC146" s="341"/>
      <c r="AD146" s="341"/>
      <c r="AE146" s="341"/>
      <c r="AF146" s="341"/>
      <c r="AG146" s="908"/>
      <c r="AH146" s="908"/>
      <c r="AI146" s="908"/>
      <c r="AJ146" s="908"/>
      <c r="NP146" s="397"/>
      <c r="OW146"/>
      <c r="OX146"/>
      <c r="OY146"/>
      <c r="OZ146"/>
      <c r="PA146"/>
      <c r="PB146"/>
      <c r="PC146"/>
      <c r="PD146"/>
      <c r="PE146"/>
      <c r="PF146"/>
      <c r="PG146"/>
      <c r="PH146"/>
      <c r="PI146"/>
      <c r="PJ146"/>
      <c r="PK146"/>
      <c r="PL146"/>
      <c r="PM146"/>
      <c r="PN146"/>
      <c r="PO146"/>
      <c r="PP146"/>
      <c r="SZ146" s="555"/>
      <c r="TA146" s="555"/>
      <c r="TB146" s="555">
        <v>-2966768.1999999993</v>
      </c>
      <c r="TC146" s="555">
        <v>-7911032.129999999</v>
      </c>
    </row>
    <row r="147" spans="20:523" ht="15" thickBot="1" x14ac:dyDescent="0.4">
      <c r="T147" s="241"/>
      <c r="U147" s="241"/>
      <c r="V147" s="895"/>
      <c r="W147" s="895"/>
      <c r="X147" s="895"/>
      <c r="Y147" s="895"/>
      <c r="Z147" s="895"/>
      <c r="AA147" s="341"/>
      <c r="AB147" s="341"/>
      <c r="AC147" s="341"/>
      <c r="AD147" s="341"/>
      <c r="AE147" s="341"/>
      <c r="AF147" s="341"/>
      <c r="AG147" s="908"/>
      <c r="AH147" s="908"/>
      <c r="AI147" s="908"/>
      <c r="AJ147" s="908"/>
      <c r="NP147" s="397"/>
      <c r="OW147"/>
      <c r="OX147"/>
      <c r="OY147"/>
      <c r="OZ147"/>
      <c r="PA147"/>
      <c r="PB147"/>
      <c r="PC147"/>
      <c r="PD147"/>
      <c r="PE147"/>
      <c r="PF147"/>
      <c r="PG147"/>
      <c r="PH147"/>
      <c r="PI147"/>
      <c r="PJ147"/>
      <c r="PK147"/>
      <c r="PL147"/>
      <c r="PM147"/>
      <c r="PN147"/>
      <c r="PO147"/>
      <c r="PP147"/>
      <c r="SZ147" s="553"/>
      <c r="TA147" s="553"/>
      <c r="TB147" s="553">
        <v>72306559.649999961</v>
      </c>
      <c r="TC147" s="553">
        <v>375462002.63</v>
      </c>
    </row>
    <row r="148" spans="20:523" ht="15" thickTop="1" x14ac:dyDescent="0.35">
      <c r="T148" s="241"/>
      <c r="U148" s="241"/>
      <c r="V148" s="895"/>
      <c r="W148" s="895"/>
      <c r="X148" s="895"/>
      <c r="Y148" s="895"/>
      <c r="Z148" s="895"/>
      <c r="AA148" s="341"/>
      <c r="AB148" s="341"/>
      <c r="AC148" s="341"/>
      <c r="AD148" s="341"/>
      <c r="AE148" s="341"/>
      <c r="AF148" s="341"/>
      <c r="AG148" s="908"/>
      <c r="AH148" s="908"/>
      <c r="AI148" s="908"/>
      <c r="AJ148" s="908"/>
      <c r="NP148" s="397"/>
      <c r="OW148"/>
      <c r="OX148"/>
      <c r="OY148"/>
      <c r="OZ148"/>
      <c r="PA148"/>
      <c r="PB148"/>
      <c r="PC148"/>
      <c r="PD148"/>
      <c r="PE148"/>
      <c r="PF148"/>
      <c r="PG148"/>
      <c r="PH148"/>
      <c r="PI148"/>
      <c r="PJ148"/>
      <c r="PK148"/>
      <c r="PL148"/>
      <c r="PM148"/>
      <c r="PN148"/>
      <c r="PO148"/>
      <c r="PP148"/>
      <c r="SZ148" s="558"/>
      <c r="TA148" s="558"/>
      <c r="TB148" s="558"/>
      <c r="TC148" s="558"/>
    </row>
    <row r="149" spans="20:523" x14ac:dyDescent="0.35">
      <c r="T149" s="241"/>
      <c r="U149" s="241"/>
      <c r="V149" s="895"/>
      <c r="W149" s="895"/>
      <c r="X149" s="895"/>
      <c r="Y149" s="895"/>
      <c r="Z149" s="895"/>
      <c r="AA149" s="341"/>
      <c r="AB149" s="341"/>
      <c r="AC149" s="341"/>
      <c r="AD149" s="341"/>
      <c r="AE149" s="341"/>
      <c r="AF149" s="341"/>
      <c r="AG149" s="908"/>
      <c r="AH149" s="908"/>
      <c r="AI149" s="908"/>
      <c r="AJ149" s="908"/>
      <c r="NP149" s="397"/>
      <c r="OW149"/>
      <c r="OX149"/>
      <c r="OY149"/>
      <c r="OZ149"/>
      <c r="PA149"/>
      <c r="PB149"/>
      <c r="PC149"/>
      <c r="PD149"/>
      <c r="PE149"/>
      <c r="PF149"/>
      <c r="PG149"/>
      <c r="PH149"/>
      <c r="PI149"/>
      <c r="PJ149"/>
      <c r="PK149"/>
      <c r="PL149"/>
      <c r="PM149"/>
      <c r="PN149"/>
      <c r="PO149"/>
      <c r="PP149"/>
      <c r="SZ149" s="558"/>
      <c r="TA149" s="558"/>
      <c r="TB149" s="558"/>
      <c r="TC149" s="558"/>
    </row>
    <row r="150" spans="20:523" x14ac:dyDescent="0.35">
      <c r="T150" s="241"/>
      <c r="U150" s="241"/>
      <c r="V150" s="895"/>
      <c r="W150" s="895"/>
      <c r="X150" s="895"/>
      <c r="Y150" s="895"/>
      <c r="Z150" s="895"/>
      <c r="AA150" s="341"/>
      <c r="AB150" s="341"/>
      <c r="AC150" s="341"/>
      <c r="AD150" s="341"/>
      <c r="AE150" s="341"/>
      <c r="AF150" s="341"/>
      <c r="AG150" s="908"/>
      <c r="AH150" s="908"/>
      <c r="AI150" s="908"/>
      <c r="AJ150" s="908"/>
      <c r="NP150" s="397"/>
      <c r="OW150"/>
      <c r="OX150"/>
      <c r="OY150"/>
      <c r="OZ150"/>
      <c r="PA150"/>
      <c r="PB150"/>
      <c r="PC150"/>
      <c r="PD150"/>
      <c r="PE150"/>
      <c r="PF150"/>
      <c r="PG150"/>
      <c r="PH150"/>
      <c r="PI150"/>
      <c r="PJ150"/>
      <c r="PK150"/>
      <c r="PL150"/>
      <c r="PM150"/>
      <c r="PN150"/>
      <c r="PO150"/>
      <c r="PP150"/>
      <c r="SZ150" s="557"/>
      <c r="TA150" s="557"/>
      <c r="TB150" s="564">
        <v>151151.41999999993</v>
      </c>
      <c r="TC150" s="557">
        <v>5283472.82</v>
      </c>
    </row>
    <row r="151" spans="20:523" x14ac:dyDescent="0.35">
      <c r="T151" s="241"/>
      <c r="U151" s="241"/>
      <c r="V151" s="895"/>
      <c r="W151" s="895"/>
      <c r="X151" s="895"/>
      <c r="Y151" s="895"/>
      <c r="Z151" s="895"/>
      <c r="AA151" s="341"/>
      <c r="AB151" s="341"/>
      <c r="AC151" s="341"/>
      <c r="AD151" s="341"/>
      <c r="AE151" s="341"/>
      <c r="AF151" s="341"/>
      <c r="AG151" s="908"/>
      <c r="AH151" s="908"/>
      <c r="AI151" s="908"/>
      <c r="AJ151" s="908"/>
      <c r="NP151" s="397"/>
      <c r="OW151"/>
      <c r="OX151"/>
      <c r="OY151"/>
      <c r="OZ151"/>
      <c r="PA151"/>
      <c r="PB151"/>
      <c r="PC151"/>
      <c r="PD151"/>
      <c r="PE151"/>
      <c r="PF151"/>
      <c r="PG151"/>
      <c r="PH151"/>
      <c r="PI151"/>
      <c r="PJ151"/>
      <c r="PK151"/>
      <c r="PL151"/>
      <c r="PM151"/>
      <c r="PN151"/>
      <c r="PO151"/>
      <c r="PP151"/>
      <c r="SZ151" s="556"/>
      <c r="TA151" s="556"/>
      <c r="TB151" s="563">
        <v>110848.988666</v>
      </c>
      <c r="TC151" s="556">
        <v>115120.156944</v>
      </c>
    </row>
    <row r="152" spans="20:523" x14ac:dyDescent="0.35">
      <c r="T152" s="241"/>
      <c r="U152" s="241"/>
      <c r="V152" s="895"/>
      <c r="W152" s="895"/>
      <c r="X152" s="895"/>
      <c r="Y152" s="895"/>
      <c r="Z152" s="895"/>
      <c r="AA152" s="341"/>
      <c r="AB152" s="341"/>
      <c r="AC152" s="341"/>
      <c r="AD152" s="341"/>
      <c r="AE152" s="341"/>
      <c r="AF152" s="341"/>
      <c r="AG152" s="908"/>
      <c r="AH152" s="908"/>
      <c r="AI152" s="908"/>
      <c r="AJ152" s="908"/>
      <c r="NP152" s="397"/>
      <c r="OW152"/>
      <c r="OX152"/>
      <c r="OY152"/>
      <c r="OZ152"/>
      <c r="PA152"/>
      <c r="PB152"/>
      <c r="PC152"/>
      <c r="PD152"/>
      <c r="PE152"/>
      <c r="PF152"/>
      <c r="PG152"/>
      <c r="PH152"/>
      <c r="PI152"/>
      <c r="PJ152"/>
      <c r="PK152"/>
      <c r="PL152"/>
      <c r="PM152"/>
      <c r="PN152"/>
      <c r="PO152"/>
      <c r="PP152"/>
      <c r="SZ152" s="556"/>
      <c r="TA152" s="556"/>
      <c r="TB152" s="563">
        <v>0</v>
      </c>
      <c r="TC152" s="556">
        <v>0</v>
      </c>
    </row>
    <row r="153" spans="20:523" x14ac:dyDescent="0.35">
      <c r="T153" s="241"/>
      <c r="U153" s="241"/>
      <c r="V153" s="895"/>
      <c r="W153" s="895"/>
      <c r="X153" s="895"/>
      <c r="Y153" s="895"/>
      <c r="Z153" s="895"/>
      <c r="AA153" s="341"/>
      <c r="AB153" s="341"/>
      <c r="AC153" s="341"/>
      <c r="AD153" s="341"/>
      <c r="AE153" s="341"/>
      <c r="AF153" s="341"/>
      <c r="AG153" s="908"/>
      <c r="AH153" s="908"/>
      <c r="AI153" s="908"/>
      <c r="AJ153" s="908"/>
      <c r="NP153" s="397"/>
      <c r="OW153"/>
      <c r="OX153"/>
      <c r="OY153"/>
      <c r="OZ153"/>
      <c r="PA153"/>
      <c r="PB153"/>
      <c r="PC153"/>
      <c r="PD153"/>
      <c r="PE153"/>
      <c r="PF153"/>
      <c r="PG153"/>
      <c r="PH153"/>
      <c r="PI153"/>
      <c r="PJ153"/>
      <c r="PK153"/>
      <c r="PL153"/>
      <c r="PM153"/>
      <c r="PN153"/>
      <c r="PO153"/>
      <c r="PP153"/>
      <c r="SZ153" s="555"/>
      <c r="TA153" s="555"/>
      <c r="TB153" s="562">
        <v>1068637.026574</v>
      </c>
      <c r="TC153" s="555">
        <v>1267470.985716</v>
      </c>
    </row>
    <row r="154" spans="20:523" x14ac:dyDescent="0.35">
      <c r="T154" s="241"/>
      <c r="U154" s="241"/>
      <c r="V154" s="895"/>
      <c r="W154" s="895"/>
      <c r="X154" s="895"/>
      <c r="Y154" s="895"/>
      <c r="Z154" s="895"/>
      <c r="AA154" s="341"/>
      <c r="AB154" s="341"/>
      <c r="AC154" s="341"/>
      <c r="AD154" s="341"/>
      <c r="AE154" s="341"/>
      <c r="AF154" s="341"/>
      <c r="AG154" s="908"/>
      <c r="AH154" s="908"/>
      <c r="AI154" s="908"/>
      <c r="AJ154" s="908"/>
      <c r="NP154" s="397"/>
      <c r="OW154"/>
      <c r="OX154"/>
      <c r="OY154"/>
      <c r="OZ154"/>
      <c r="PA154"/>
      <c r="PB154"/>
      <c r="PC154"/>
      <c r="PD154"/>
      <c r="PE154"/>
      <c r="PF154"/>
      <c r="PG154"/>
      <c r="PH154"/>
      <c r="PI154"/>
      <c r="PJ154"/>
      <c r="PK154"/>
      <c r="PL154"/>
      <c r="PM154"/>
      <c r="PN154"/>
      <c r="PO154"/>
      <c r="PP154"/>
      <c r="SZ154" s="556"/>
      <c r="TA154" s="556"/>
      <c r="TB154" s="556">
        <v>1330637.43524</v>
      </c>
      <c r="TC154" s="556">
        <v>6666063.9626600007</v>
      </c>
    </row>
    <row r="155" spans="20:523" x14ac:dyDescent="0.35">
      <c r="T155" s="241"/>
      <c r="U155" s="241"/>
      <c r="V155" s="895"/>
      <c r="W155" s="895"/>
      <c r="X155" s="895"/>
      <c r="Y155" s="895"/>
      <c r="Z155" s="895"/>
      <c r="AA155" s="341"/>
      <c r="AB155" s="341"/>
      <c r="AC155" s="341"/>
      <c r="AD155" s="341"/>
      <c r="AE155" s="341"/>
      <c r="AF155" s="341"/>
      <c r="AG155" s="908"/>
      <c r="AH155" s="908"/>
      <c r="AI155" s="908"/>
      <c r="AJ155" s="908"/>
      <c r="NP155" s="397"/>
      <c r="OW155"/>
      <c r="OX155"/>
      <c r="OY155"/>
      <c r="OZ155"/>
      <c r="PA155"/>
      <c r="PB155"/>
      <c r="PC155"/>
      <c r="PD155"/>
      <c r="PE155"/>
      <c r="PF155"/>
      <c r="PG155"/>
      <c r="PH155"/>
      <c r="PI155"/>
      <c r="PJ155"/>
      <c r="PK155"/>
      <c r="PL155"/>
      <c r="PM155"/>
      <c r="PN155"/>
      <c r="PO155"/>
      <c r="PP155"/>
      <c r="SZ155" s="556"/>
      <c r="TA155" s="556"/>
      <c r="TB155" s="556"/>
      <c r="TC155" s="556"/>
    </row>
    <row r="156" spans="20:523" x14ac:dyDescent="0.35">
      <c r="T156" s="241"/>
      <c r="U156" s="241"/>
      <c r="V156" s="895"/>
      <c r="W156" s="895"/>
      <c r="X156" s="895"/>
      <c r="Y156" s="895"/>
      <c r="Z156" s="895"/>
      <c r="AA156" s="341"/>
      <c r="AB156" s="341"/>
      <c r="AC156" s="341"/>
      <c r="AD156" s="341"/>
      <c r="AE156" s="341"/>
      <c r="AF156" s="341"/>
      <c r="AG156" s="908"/>
      <c r="AH156" s="908"/>
      <c r="AI156" s="908"/>
      <c r="AJ156" s="908"/>
      <c r="NP156" s="397"/>
      <c r="OW156"/>
      <c r="OX156"/>
      <c r="OY156"/>
      <c r="OZ156"/>
      <c r="PA156"/>
      <c r="PB156"/>
      <c r="PC156"/>
      <c r="PD156"/>
      <c r="PE156"/>
      <c r="PF156"/>
      <c r="PG156"/>
      <c r="PH156"/>
      <c r="PI156"/>
      <c r="PJ156"/>
      <c r="PK156"/>
      <c r="PL156"/>
      <c r="PM156"/>
      <c r="PN156"/>
      <c r="PO156"/>
      <c r="PP156"/>
      <c r="SZ156" s="556"/>
      <c r="TA156" s="556"/>
      <c r="TB156" s="556">
        <v>1330637.43524</v>
      </c>
      <c r="TC156" s="556">
        <v>6666063.9626600007</v>
      </c>
    </row>
    <row r="157" spans="20:523" x14ac:dyDescent="0.35">
      <c r="T157" s="241"/>
      <c r="U157" s="241"/>
      <c r="V157" s="895"/>
      <c r="W157" s="895"/>
      <c r="X157" s="895"/>
      <c r="Y157" s="895"/>
      <c r="Z157" s="895"/>
      <c r="AA157" s="341"/>
      <c r="AB157" s="341"/>
      <c r="AC157" s="341"/>
      <c r="AD157" s="341"/>
      <c r="AE157" s="341"/>
      <c r="AF157" s="341"/>
      <c r="AG157" s="908"/>
      <c r="AH157" s="908"/>
      <c r="AI157" s="908"/>
      <c r="AJ157" s="908"/>
      <c r="NP157" s="397"/>
      <c r="OW157"/>
      <c r="OX157"/>
      <c r="OY157"/>
      <c r="OZ157"/>
      <c r="PA157"/>
      <c r="PB157"/>
      <c r="PC157"/>
      <c r="PD157"/>
      <c r="PE157"/>
      <c r="PF157"/>
      <c r="PG157"/>
      <c r="PH157"/>
      <c r="PI157"/>
      <c r="PJ157"/>
      <c r="PK157"/>
      <c r="PL157"/>
      <c r="PM157"/>
      <c r="PN157"/>
      <c r="PO157"/>
      <c r="PP157"/>
      <c r="SZ157" s="561"/>
      <c r="TA157" s="561"/>
      <c r="TB157" s="561"/>
      <c r="TC157" s="561"/>
    </row>
    <row r="158" spans="20:523" x14ac:dyDescent="0.35">
      <c r="T158" s="241"/>
      <c r="U158" s="241"/>
      <c r="V158" s="895"/>
      <c r="W158" s="895"/>
      <c r="X158" s="895"/>
      <c r="Y158" s="895"/>
      <c r="Z158" s="895"/>
      <c r="AA158" s="341"/>
      <c r="AB158" s="341"/>
      <c r="AC158" s="341"/>
      <c r="AD158" s="341"/>
      <c r="AE158" s="341"/>
      <c r="AF158" s="341"/>
      <c r="AG158" s="908"/>
      <c r="AH158" s="908"/>
      <c r="AI158" s="908"/>
      <c r="AJ158" s="908"/>
      <c r="NP158" s="397"/>
      <c r="OW158"/>
      <c r="OX158"/>
      <c r="OY158"/>
      <c r="OZ158"/>
      <c r="PA158"/>
      <c r="PB158"/>
      <c r="PC158"/>
      <c r="PD158"/>
      <c r="PE158"/>
      <c r="PF158"/>
      <c r="PG158"/>
      <c r="PH158"/>
      <c r="PI158"/>
      <c r="PJ158"/>
      <c r="PK158"/>
      <c r="PL158"/>
      <c r="PM158"/>
      <c r="PN158"/>
      <c r="PO158"/>
      <c r="PP158"/>
      <c r="SZ158" s="555"/>
      <c r="TA158" s="555"/>
      <c r="TB158" s="555">
        <v>-279433.8614004</v>
      </c>
      <c r="TC158" s="555">
        <v>-1399873.4321586001</v>
      </c>
    </row>
    <row r="159" spans="20:523" x14ac:dyDescent="0.35">
      <c r="T159" s="241"/>
      <c r="U159" s="241"/>
      <c r="V159" s="895"/>
      <c r="W159" s="895"/>
      <c r="X159" s="895"/>
      <c r="Y159" s="895"/>
      <c r="Z159" s="895"/>
      <c r="AA159" s="341"/>
      <c r="AB159" s="341"/>
      <c r="AC159" s="341"/>
      <c r="AD159" s="341"/>
      <c r="AE159" s="341"/>
      <c r="AF159" s="341"/>
      <c r="AG159" s="909"/>
      <c r="AH159" s="909"/>
      <c r="AI159" s="909"/>
      <c r="AJ159" s="909"/>
      <c r="NP159" s="397"/>
      <c r="OW159"/>
      <c r="OX159"/>
      <c r="OY159"/>
      <c r="OZ159"/>
      <c r="PA159"/>
      <c r="PB159"/>
      <c r="PC159"/>
      <c r="PD159"/>
      <c r="PE159"/>
      <c r="PF159"/>
      <c r="PG159"/>
      <c r="PH159"/>
      <c r="PI159"/>
      <c r="PJ159"/>
      <c r="PK159"/>
      <c r="PL159"/>
      <c r="PM159"/>
      <c r="PN159"/>
      <c r="PO159"/>
      <c r="PP159"/>
      <c r="SZ159" s="560"/>
      <c r="TA159" s="560"/>
      <c r="TB159" s="560"/>
      <c r="TC159" s="560"/>
    </row>
    <row r="160" spans="20:523" ht="15" thickBot="1" x14ac:dyDescent="0.4">
      <c r="T160" s="241"/>
      <c r="U160" s="241"/>
      <c r="V160" s="895"/>
      <c r="W160" s="895"/>
      <c r="X160" s="895"/>
      <c r="Y160" s="895"/>
      <c r="Z160" s="895"/>
      <c r="AA160" s="341"/>
      <c r="AB160" s="341"/>
      <c r="AC160" s="341"/>
      <c r="AD160" s="341"/>
      <c r="AE160" s="341"/>
      <c r="AF160" s="341"/>
      <c r="AG160" s="910"/>
      <c r="AH160" s="910"/>
      <c r="AI160" s="910"/>
      <c r="AJ160" s="910"/>
      <c r="NP160" s="397"/>
      <c r="OW160"/>
      <c r="OX160"/>
      <c r="OY160"/>
      <c r="OZ160"/>
      <c r="PA160"/>
      <c r="PB160"/>
      <c r="PC160"/>
      <c r="PD160"/>
      <c r="PE160"/>
      <c r="PF160"/>
      <c r="PG160"/>
      <c r="PH160"/>
      <c r="PI160"/>
      <c r="PJ160"/>
      <c r="PK160"/>
      <c r="PL160"/>
      <c r="PM160"/>
      <c r="PN160"/>
      <c r="PO160"/>
      <c r="PP160"/>
      <c r="SZ160" s="559"/>
      <c r="TA160" s="559"/>
      <c r="TB160" s="559">
        <v>-1051203.5738396</v>
      </c>
      <c r="TC160" s="559">
        <v>-5266190.5305014011</v>
      </c>
    </row>
    <row r="161" spans="20:523" ht="15" thickTop="1" x14ac:dyDescent="0.35">
      <c r="T161" s="241"/>
      <c r="U161" s="241"/>
      <c r="V161" s="895"/>
      <c r="W161" s="895"/>
      <c r="X161" s="895"/>
      <c r="Y161" s="895"/>
      <c r="Z161" s="895"/>
      <c r="AA161" s="341"/>
      <c r="AB161" s="341"/>
      <c r="AC161" s="341"/>
      <c r="AD161" s="341"/>
      <c r="AE161" s="341"/>
      <c r="AF161" s="341"/>
      <c r="AG161" s="863"/>
      <c r="AH161" s="863"/>
      <c r="AI161" s="863"/>
      <c r="AJ161" s="863"/>
      <c r="OW161"/>
      <c r="OX161"/>
      <c r="OY161"/>
      <c r="OZ161"/>
      <c r="PA161"/>
      <c r="PB161"/>
      <c r="PC161"/>
      <c r="PD161"/>
      <c r="PE161"/>
      <c r="PF161"/>
      <c r="PG161"/>
      <c r="PH161"/>
      <c r="PI161"/>
      <c r="PJ161"/>
      <c r="PK161"/>
      <c r="PL161"/>
      <c r="PM161"/>
      <c r="PN161"/>
      <c r="PO161"/>
      <c r="PP161"/>
      <c r="SZ161" s="558"/>
      <c r="TA161" s="558"/>
      <c r="TB161" s="558"/>
      <c r="TC161" s="558"/>
    </row>
    <row r="162" spans="20:523" x14ac:dyDescent="0.35">
      <c r="T162" s="241"/>
      <c r="U162" s="241"/>
      <c r="V162" s="895"/>
      <c r="W162" s="895"/>
      <c r="X162" s="895"/>
      <c r="Y162" s="895"/>
      <c r="Z162" s="895"/>
      <c r="AA162" s="341"/>
      <c r="AB162" s="341"/>
      <c r="AC162" s="341"/>
      <c r="AD162" s="341"/>
      <c r="AE162" s="341"/>
      <c r="AF162" s="341"/>
      <c r="AG162" s="863"/>
      <c r="AH162" s="863"/>
      <c r="AI162" s="863"/>
      <c r="AJ162" s="863"/>
      <c r="OW162"/>
      <c r="OX162"/>
      <c r="OY162"/>
      <c r="OZ162"/>
      <c r="PA162"/>
      <c r="PB162"/>
      <c r="PC162"/>
      <c r="PD162"/>
      <c r="PE162"/>
      <c r="PF162"/>
      <c r="PG162"/>
      <c r="PH162"/>
      <c r="PI162"/>
      <c r="PJ162"/>
      <c r="PK162"/>
      <c r="PL162"/>
      <c r="PM162"/>
      <c r="PN162"/>
      <c r="PO162"/>
      <c r="PP162"/>
      <c r="SZ162" s="557"/>
      <c r="TA162" s="557"/>
      <c r="TB162" s="557">
        <v>17586544.043998033</v>
      </c>
      <c r="TC162" s="557">
        <v>260314630.7942</v>
      </c>
    </row>
    <row r="163" spans="20:523" x14ac:dyDescent="0.35">
      <c r="T163" s="241"/>
      <c r="U163" s="241"/>
      <c r="V163" s="895"/>
      <c r="W163" s="895"/>
      <c r="X163" s="895"/>
      <c r="Y163" s="895"/>
      <c r="Z163" s="895"/>
      <c r="AA163" s="341"/>
      <c r="AB163" s="341"/>
      <c r="AC163" s="341"/>
      <c r="AD163" s="341"/>
      <c r="AE163" s="341"/>
      <c r="AF163" s="341"/>
      <c r="AG163" s="865"/>
      <c r="AH163" s="865"/>
      <c r="AI163" s="865"/>
      <c r="AJ163" s="865"/>
      <c r="OW163"/>
      <c r="OX163"/>
      <c r="OY163"/>
      <c r="OZ163"/>
      <c r="PA163"/>
      <c r="PB163"/>
      <c r="PC163"/>
      <c r="PD163"/>
      <c r="PE163"/>
      <c r="PF163"/>
      <c r="PG163"/>
      <c r="PH163"/>
      <c r="PI163"/>
      <c r="PJ163"/>
      <c r="PK163"/>
      <c r="PL163"/>
      <c r="PM163"/>
      <c r="PN163"/>
      <c r="PO163"/>
      <c r="PP163"/>
      <c r="SZ163" s="556"/>
      <c r="TA163" s="556"/>
      <c r="TB163" s="556">
        <v>-5940519.9441640023</v>
      </c>
      <c r="TC163" s="556">
        <v>-19518505.906612001</v>
      </c>
    </row>
    <row r="164" spans="20:523" x14ac:dyDescent="0.35">
      <c r="T164" s="241"/>
      <c r="U164" s="241"/>
      <c r="V164" s="895"/>
      <c r="W164" s="895"/>
      <c r="X164" s="895"/>
      <c r="Y164" s="895"/>
      <c r="Z164" s="895"/>
      <c r="AA164" s="341"/>
      <c r="AB164" s="341"/>
      <c r="AC164" s="341"/>
      <c r="AD164" s="341"/>
      <c r="AE164" s="341"/>
      <c r="AF164" s="341"/>
      <c r="AG164" s="865"/>
      <c r="AH164" s="865"/>
      <c r="AI164" s="865"/>
      <c r="AJ164" s="865"/>
      <c r="OW164"/>
      <c r="OX164"/>
      <c r="OY164"/>
      <c r="OZ164"/>
      <c r="PA164"/>
      <c r="PB164"/>
      <c r="PC164"/>
      <c r="PD164"/>
      <c r="PE164"/>
      <c r="PF164"/>
      <c r="PG164"/>
      <c r="PH164"/>
      <c r="PI164"/>
      <c r="PJ164"/>
      <c r="PK164"/>
      <c r="PL164"/>
      <c r="PM164"/>
      <c r="PN164"/>
      <c r="PO164"/>
      <c r="PP164"/>
      <c r="SZ164" s="555"/>
      <c r="TA164" s="555"/>
      <c r="TB164" s="555">
        <v>-526164.26697800006</v>
      </c>
      <c r="TC164" s="555">
        <v>-304664.20316800004</v>
      </c>
    </row>
    <row r="165" spans="20:523" ht="15" thickBot="1" x14ac:dyDescent="0.4">
      <c r="T165" s="241"/>
      <c r="U165" s="241"/>
      <c r="V165" s="895"/>
      <c r="W165" s="895"/>
      <c r="X165" s="895"/>
      <c r="Y165" s="895"/>
      <c r="Z165" s="895"/>
      <c r="AA165" s="341"/>
      <c r="AB165" s="341"/>
      <c r="AC165" s="341"/>
      <c r="AD165" s="341"/>
      <c r="AE165" s="341"/>
      <c r="AF165" s="341"/>
      <c r="AG165" s="865"/>
      <c r="AH165" s="865"/>
      <c r="AI165" s="865"/>
      <c r="AJ165" s="865"/>
      <c r="OW165"/>
      <c r="OX165"/>
      <c r="OY165"/>
      <c r="OZ165"/>
      <c r="PA165"/>
      <c r="PB165"/>
      <c r="PC165"/>
      <c r="PD165"/>
      <c r="PE165"/>
      <c r="PF165"/>
      <c r="PG165"/>
      <c r="PH165"/>
      <c r="PI165"/>
      <c r="PJ165"/>
      <c r="PK165"/>
      <c r="PL165"/>
      <c r="PM165"/>
      <c r="PN165"/>
      <c r="PO165"/>
      <c r="PP165"/>
      <c r="SZ165" s="553"/>
      <c r="TA165" s="553"/>
      <c r="TB165" s="553">
        <v>11119859.832856031</v>
      </c>
      <c r="TC165" s="553">
        <v>240491460.68441999</v>
      </c>
    </row>
    <row r="166" spans="20:523" ht="15" thickTop="1" x14ac:dyDescent="0.35">
      <c r="T166" s="241"/>
      <c r="U166" s="241"/>
      <c r="V166" s="895"/>
      <c r="W166" s="895"/>
      <c r="X166" s="895"/>
      <c r="Y166" s="895"/>
      <c r="Z166" s="895"/>
      <c r="AA166" s="341"/>
      <c r="AB166" s="341"/>
      <c r="AC166" s="341"/>
      <c r="AD166" s="341"/>
      <c r="AE166" s="341"/>
      <c r="AF166" s="341"/>
      <c r="AG166" s="910"/>
      <c r="AH166" s="910"/>
      <c r="AI166" s="910"/>
      <c r="AJ166" s="910"/>
      <c r="OW166"/>
      <c r="OX166"/>
      <c r="OY166"/>
      <c r="OZ166"/>
      <c r="PA166"/>
      <c r="PB166"/>
      <c r="PC166"/>
      <c r="PD166"/>
      <c r="PE166"/>
      <c r="PF166"/>
      <c r="PG166"/>
      <c r="PH166"/>
      <c r="PI166"/>
      <c r="PJ166"/>
      <c r="PK166"/>
      <c r="PL166"/>
      <c r="PM166"/>
      <c r="PN166"/>
      <c r="PO166"/>
      <c r="PP166"/>
      <c r="SZ166" s="558"/>
      <c r="TA166" s="558"/>
      <c r="TB166" s="558"/>
      <c r="TC166" s="558"/>
    </row>
    <row r="167" spans="20:523" x14ac:dyDescent="0.35">
      <c r="T167" s="241"/>
      <c r="U167" s="241"/>
      <c r="V167" s="895"/>
      <c r="W167" s="895"/>
      <c r="X167" s="895"/>
      <c r="Y167" s="895"/>
      <c r="Z167" s="895"/>
      <c r="AA167" s="341"/>
      <c r="AB167" s="341"/>
      <c r="AC167" s="341"/>
      <c r="AD167" s="341"/>
      <c r="AE167" s="341"/>
      <c r="AF167" s="341"/>
      <c r="AG167" s="863"/>
      <c r="AH167" s="863"/>
      <c r="AI167" s="863"/>
      <c r="AJ167" s="863"/>
      <c r="OW167"/>
      <c r="OX167"/>
      <c r="OY167"/>
      <c r="OZ167"/>
      <c r="PA167"/>
      <c r="PB167"/>
      <c r="PC167"/>
      <c r="PD167"/>
      <c r="PE167"/>
      <c r="PF167"/>
      <c r="PG167"/>
      <c r="PH167"/>
      <c r="PI167"/>
      <c r="PJ167"/>
      <c r="PK167"/>
      <c r="PL167"/>
      <c r="PM167"/>
      <c r="PN167"/>
      <c r="PO167"/>
      <c r="PP167"/>
      <c r="SZ167" s="558"/>
      <c r="TA167" s="558"/>
      <c r="TB167" s="558"/>
      <c r="TC167" s="558"/>
    </row>
    <row r="168" spans="20:523" x14ac:dyDescent="0.35">
      <c r="T168" s="241"/>
      <c r="U168" s="241"/>
      <c r="V168" s="895"/>
      <c r="W168" s="895"/>
      <c r="X168" s="895"/>
      <c r="Y168" s="895"/>
      <c r="Z168" s="895"/>
      <c r="AA168" s="341"/>
      <c r="AB168" s="341"/>
      <c r="AC168" s="341"/>
      <c r="AD168" s="341"/>
      <c r="AE168" s="341"/>
      <c r="AF168" s="341"/>
      <c r="AG168" s="863"/>
      <c r="AH168" s="863"/>
      <c r="AI168" s="863"/>
      <c r="AJ168" s="863"/>
      <c r="OW168"/>
      <c r="OX168"/>
      <c r="OY168"/>
      <c r="OZ168"/>
      <c r="PA168"/>
      <c r="PB168"/>
      <c r="PC168"/>
      <c r="PD168"/>
      <c r="PE168"/>
      <c r="PF168"/>
      <c r="PG168"/>
      <c r="PH168"/>
      <c r="PI168"/>
      <c r="PJ168"/>
      <c r="PK168"/>
      <c r="PL168"/>
      <c r="PM168"/>
      <c r="PN168"/>
      <c r="PO168"/>
      <c r="PP168"/>
      <c r="SZ168" s="557"/>
      <c r="TA168" s="557"/>
      <c r="TB168" s="564">
        <v>486242.2899999998</v>
      </c>
      <c r="TC168" s="557">
        <v>2109121.8899999997</v>
      </c>
    </row>
    <row r="169" spans="20:523" x14ac:dyDescent="0.35">
      <c r="T169" s="241"/>
      <c r="U169" s="241"/>
      <c r="V169" s="895"/>
      <c r="W169" s="895"/>
      <c r="X169" s="895"/>
      <c r="Y169" s="895"/>
      <c r="Z169" s="895"/>
      <c r="AA169" s="341"/>
      <c r="AB169" s="341"/>
      <c r="AC169" s="341"/>
      <c r="AD169" s="341"/>
      <c r="AE169" s="341"/>
      <c r="AF169" s="341"/>
      <c r="AG169" s="863"/>
      <c r="AH169" s="863"/>
      <c r="AI169" s="863"/>
      <c r="AJ169" s="863"/>
      <c r="OW169"/>
      <c r="OX169"/>
      <c r="OY169"/>
      <c r="OZ169"/>
      <c r="PA169"/>
      <c r="PB169"/>
      <c r="PC169"/>
      <c r="PD169"/>
      <c r="PE169"/>
      <c r="PF169"/>
      <c r="PG169"/>
      <c r="PH169"/>
      <c r="PI169"/>
      <c r="PJ169"/>
      <c r="PK169"/>
      <c r="PL169"/>
      <c r="PM169"/>
      <c r="PN169"/>
      <c r="PO169"/>
      <c r="PP169"/>
      <c r="SZ169" s="556"/>
      <c r="TA169" s="556"/>
      <c r="TB169" s="563">
        <v>377337.46341199998</v>
      </c>
      <c r="TC169" s="556">
        <v>1191187.2124360001</v>
      </c>
    </row>
    <row r="170" spans="20:523" x14ac:dyDescent="0.35">
      <c r="T170" s="241"/>
      <c r="U170" s="241"/>
      <c r="V170" s="895"/>
      <c r="W170" s="895"/>
      <c r="X170" s="895"/>
      <c r="Y170" s="895"/>
      <c r="Z170" s="895"/>
      <c r="AA170" s="341"/>
      <c r="AB170" s="341"/>
      <c r="AC170" s="341"/>
      <c r="AD170" s="341"/>
      <c r="AE170" s="341"/>
      <c r="AF170" s="341"/>
      <c r="AG170" s="863"/>
      <c r="AH170" s="863"/>
      <c r="AI170" s="863"/>
      <c r="AJ170" s="863"/>
      <c r="OW170"/>
      <c r="OX170"/>
      <c r="OY170"/>
      <c r="OZ170"/>
      <c r="PA170"/>
      <c r="PB170"/>
      <c r="PC170"/>
      <c r="PD170"/>
      <c r="PE170"/>
      <c r="PF170"/>
      <c r="PG170"/>
      <c r="PH170"/>
      <c r="PI170"/>
      <c r="PJ170"/>
      <c r="PK170"/>
      <c r="PL170"/>
      <c r="PM170"/>
      <c r="PN170"/>
      <c r="PO170"/>
      <c r="PP170"/>
      <c r="SZ170" s="556"/>
      <c r="TA170" s="556"/>
      <c r="TB170" s="563">
        <v>194265.28000000096</v>
      </c>
      <c r="TC170" s="556">
        <v>1385973.7400000009</v>
      </c>
    </row>
    <row r="171" spans="20:523" x14ac:dyDescent="0.35">
      <c r="T171" s="241"/>
      <c r="U171" s="241"/>
      <c r="V171" s="895"/>
      <c r="W171" s="895"/>
      <c r="X171" s="895"/>
      <c r="Y171" s="895"/>
      <c r="Z171" s="895"/>
      <c r="AA171" s="341"/>
      <c r="AB171" s="341"/>
      <c r="AC171" s="341"/>
      <c r="AD171" s="341"/>
      <c r="AE171" s="341"/>
      <c r="AF171" s="341"/>
      <c r="AG171" s="863"/>
      <c r="AH171" s="863"/>
      <c r="AI171" s="863"/>
      <c r="AJ171" s="863"/>
      <c r="OW171"/>
      <c r="OX171"/>
      <c r="OY171"/>
      <c r="OZ171"/>
      <c r="PA171"/>
      <c r="PB171"/>
      <c r="PC171"/>
      <c r="PD171"/>
      <c r="PE171"/>
      <c r="PF171"/>
      <c r="PG171"/>
      <c r="PH171"/>
      <c r="PI171"/>
      <c r="PJ171"/>
      <c r="PK171"/>
      <c r="PL171"/>
      <c r="PM171"/>
      <c r="PN171"/>
      <c r="PO171"/>
      <c r="PP171"/>
      <c r="SZ171" s="555"/>
      <c r="TA171" s="555"/>
      <c r="TB171" s="562">
        <v>2351847.6628140043</v>
      </c>
      <c r="TC171" s="555">
        <v>13696270.037294004</v>
      </c>
    </row>
    <row r="172" spans="20:523" x14ac:dyDescent="0.35">
      <c r="T172" s="241"/>
      <c r="U172" s="241"/>
      <c r="V172" s="895"/>
      <c r="W172" s="895"/>
      <c r="X172" s="895"/>
      <c r="Y172" s="895"/>
      <c r="Z172" s="895"/>
      <c r="AA172" s="341"/>
      <c r="AB172" s="341"/>
      <c r="AC172" s="341"/>
      <c r="AD172" s="341"/>
      <c r="AE172" s="341"/>
      <c r="AF172" s="341"/>
      <c r="AG172" s="863"/>
      <c r="AH172" s="863"/>
      <c r="AI172" s="863"/>
      <c r="AJ172" s="863"/>
      <c r="OW172"/>
      <c r="OX172"/>
      <c r="OY172"/>
      <c r="OZ172"/>
      <c r="PA172"/>
      <c r="PB172"/>
      <c r="PC172"/>
      <c r="PD172"/>
      <c r="PE172"/>
      <c r="PF172"/>
      <c r="PG172"/>
      <c r="PH172"/>
      <c r="PI172"/>
      <c r="PJ172"/>
      <c r="PK172"/>
      <c r="PL172"/>
      <c r="PM172"/>
      <c r="PN172"/>
      <c r="PO172"/>
      <c r="PP172"/>
      <c r="SZ172" s="556"/>
      <c r="TA172" s="556"/>
      <c r="TB172" s="556">
        <v>3409692.696226005</v>
      </c>
      <c r="TC172" s="556">
        <v>18382552.879730005</v>
      </c>
    </row>
    <row r="173" spans="20:523" x14ac:dyDescent="0.35">
      <c r="T173" s="241"/>
      <c r="U173" s="241"/>
      <c r="V173" s="895"/>
      <c r="W173" s="895"/>
      <c r="X173" s="895"/>
      <c r="Y173" s="895"/>
      <c r="Z173" s="895"/>
      <c r="AA173" s="341"/>
      <c r="AB173" s="341"/>
      <c r="AC173" s="341"/>
      <c r="AD173" s="341"/>
      <c r="AE173" s="341"/>
      <c r="AF173" s="341"/>
      <c r="AG173" s="863"/>
      <c r="AH173" s="863"/>
      <c r="AI173" s="863"/>
      <c r="AJ173" s="863"/>
      <c r="OW173"/>
      <c r="OX173"/>
      <c r="OY173"/>
      <c r="OZ173"/>
      <c r="PA173"/>
      <c r="PB173"/>
      <c r="PC173"/>
      <c r="PD173"/>
      <c r="PE173"/>
      <c r="PF173"/>
      <c r="PG173"/>
      <c r="PH173"/>
      <c r="PI173"/>
      <c r="PJ173"/>
      <c r="PK173"/>
      <c r="PL173"/>
      <c r="PM173"/>
      <c r="PN173"/>
      <c r="PO173"/>
      <c r="PP173"/>
      <c r="SZ173" s="556"/>
      <c r="TA173" s="556"/>
      <c r="TB173" s="556"/>
      <c r="TC173" s="556"/>
    </row>
    <row r="174" spans="20:523" x14ac:dyDescent="0.35">
      <c r="T174" s="241"/>
      <c r="U174" s="241"/>
      <c r="V174" s="895"/>
      <c r="W174" s="895"/>
      <c r="X174" s="895"/>
      <c r="Y174" s="895"/>
      <c r="Z174" s="895"/>
      <c r="AA174" s="341"/>
      <c r="AB174" s="341"/>
      <c r="AC174" s="341"/>
      <c r="AD174" s="341"/>
      <c r="AE174" s="341"/>
      <c r="AF174" s="341"/>
      <c r="AG174" s="863"/>
      <c r="AH174" s="863"/>
      <c r="AI174" s="863"/>
      <c r="AJ174" s="863"/>
      <c r="OW174"/>
      <c r="OX174"/>
      <c r="OY174"/>
      <c r="OZ174"/>
      <c r="PA174"/>
      <c r="PB174"/>
      <c r="PC174"/>
      <c r="PD174"/>
      <c r="PE174"/>
      <c r="PF174"/>
      <c r="PG174"/>
      <c r="PH174"/>
      <c r="PI174"/>
      <c r="PJ174"/>
      <c r="PK174"/>
      <c r="PL174"/>
      <c r="PM174"/>
      <c r="PN174"/>
      <c r="PO174"/>
      <c r="PP174"/>
      <c r="SZ174" s="556"/>
      <c r="TA174" s="556"/>
      <c r="TB174" s="556">
        <v>3409692.696226005</v>
      </c>
      <c r="TC174" s="556">
        <v>18382552.879730005</v>
      </c>
    </row>
    <row r="175" spans="20:523" x14ac:dyDescent="0.35">
      <c r="T175" s="241"/>
      <c r="U175" s="241"/>
      <c r="V175" s="895"/>
      <c r="W175" s="895"/>
      <c r="X175" s="895"/>
      <c r="Y175" s="895"/>
      <c r="Z175" s="895"/>
      <c r="AA175" s="341"/>
      <c r="AB175" s="341"/>
      <c r="AC175" s="341"/>
      <c r="AD175" s="341"/>
      <c r="AE175" s="341"/>
      <c r="AF175" s="341"/>
      <c r="AG175" s="863"/>
      <c r="AH175" s="863"/>
      <c r="AI175" s="863"/>
      <c r="AJ175" s="863"/>
      <c r="OW175"/>
      <c r="OX175"/>
      <c r="OY175"/>
      <c r="OZ175"/>
      <c r="PA175"/>
      <c r="PB175"/>
      <c r="PC175"/>
      <c r="PD175"/>
      <c r="PE175"/>
      <c r="PF175"/>
      <c r="PG175"/>
      <c r="PH175"/>
      <c r="PI175"/>
      <c r="PJ175"/>
      <c r="PK175"/>
      <c r="PL175"/>
      <c r="PM175"/>
      <c r="PN175"/>
      <c r="PO175"/>
      <c r="PP175"/>
      <c r="SZ175" s="561"/>
      <c r="TA175" s="561"/>
      <c r="TB175" s="561"/>
      <c r="TC175" s="561"/>
    </row>
    <row r="176" spans="20:523" x14ac:dyDescent="0.35">
      <c r="T176" s="241"/>
      <c r="U176" s="241"/>
      <c r="V176" s="895"/>
      <c r="W176" s="895"/>
      <c r="X176" s="895"/>
      <c r="Y176" s="895"/>
      <c r="Z176" s="895"/>
      <c r="AA176" s="341"/>
      <c r="AB176" s="341"/>
      <c r="AC176" s="341"/>
      <c r="AD176" s="341"/>
      <c r="AE176" s="341"/>
      <c r="AF176" s="341"/>
      <c r="AG176" s="863"/>
      <c r="AH176" s="863"/>
      <c r="AI176" s="863"/>
      <c r="AJ176" s="863"/>
      <c r="OW176"/>
      <c r="OX176"/>
      <c r="OY176"/>
      <c r="OZ176"/>
      <c r="PA176"/>
      <c r="PB176"/>
      <c r="PC176"/>
      <c r="PD176"/>
      <c r="PE176"/>
      <c r="PF176"/>
      <c r="PG176"/>
      <c r="PH176"/>
      <c r="PI176"/>
      <c r="PJ176"/>
      <c r="PK176"/>
      <c r="PL176"/>
      <c r="PM176"/>
      <c r="PN176"/>
      <c r="PO176"/>
      <c r="PP176"/>
      <c r="SZ176" s="555"/>
      <c r="TA176" s="555"/>
      <c r="TB176" s="555">
        <v>-716035.46620746097</v>
      </c>
      <c r="TC176" s="555">
        <v>-3860336.1047433009</v>
      </c>
    </row>
    <row r="177" spans="20:523" x14ac:dyDescent="0.35">
      <c r="T177" s="241"/>
      <c r="U177" s="241"/>
      <c r="V177" s="895"/>
      <c r="W177" s="895"/>
      <c r="X177" s="895"/>
      <c r="Y177" s="895"/>
      <c r="Z177" s="895"/>
      <c r="AA177" s="341"/>
      <c r="AB177" s="341"/>
      <c r="AC177" s="341"/>
      <c r="AD177" s="341"/>
      <c r="AE177" s="341"/>
      <c r="AF177" s="341"/>
      <c r="AG177" s="863"/>
      <c r="AH177" s="863"/>
      <c r="AI177" s="863"/>
      <c r="AJ177" s="863"/>
      <c r="OW177"/>
      <c r="OX177"/>
      <c r="OY177"/>
      <c r="OZ177"/>
      <c r="PA177"/>
      <c r="PB177"/>
      <c r="PC177"/>
      <c r="PD177"/>
      <c r="PE177"/>
      <c r="PF177"/>
      <c r="PG177"/>
      <c r="PH177"/>
      <c r="PI177"/>
      <c r="PJ177"/>
      <c r="PK177"/>
      <c r="PL177"/>
      <c r="PM177"/>
      <c r="PN177"/>
      <c r="PO177"/>
      <c r="PP177"/>
      <c r="SZ177" s="560"/>
      <c r="TA177" s="560"/>
      <c r="TB177" s="560"/>
      <c r="TC177" s="560"/>
    </row>
    <row r="178" spans="20:523" ht="15" thickBot="1" x14ac:dyDescent="0.4">
      <c r="T178" s="241"/>
      <c r="U178" s="241"/>
      <c r="V178" s="895"/>
      <c r="W178" s="895"/>
      <c r="X178" s="895"/>
      <c r="Y178" s="895"/>
      <c r="Z178" s="895"/>
      <c r="AA178" s="341"/>
      <c r="AB178" s="341"/>
      <c r="AC178" s="341"/>
      <c r="AD178" s="341"/>
      <c r="AE178" s="341"/>
      <c r="AF178" s="341"/>
      <c r="AG178" s="863"/>
      <c r="AH178" s="863"/>
      <c r="AI178" s="863"/>
      <c r="AJ178" s="863"/>
      <c r="OW178"/>
      <c r="OX178"/>
      <c r="OY178"/>
      <c r="OZ178"/>
      <c r="PA178"/>
      <c r="PB178"/>
      <c r="PC178"/>
      <c r="PD178"/>
      <c r="PE178"/>
      <c r="PF178"/>
      <c r="PG178"/>
      <c r="PH178"/>
      <c r="PI178"/>
      <c r="PJ178"/>
      <c r="PK178"/>
      <c r="PL178"/>
      <c r="PM178"/>
      <c r="PN178"/>
      <c r="PO178"/>
      <c r="PP178"/>
      <c r="SZ178" s="559"/>
      <c r="TA178" s="559"/>
      <c r="TB178" s="559">
        <v>-2693657.230018544</v>
      </c>
      <c r="TC178" s="559">
        <v>-14522216.774986703</v>
      </c>
    </row>
    <row r="179" spans="20:523" ht="15" thickTop="1" x14ac:dyDescent="0.35">
      <c r="T179" s="241"/>
      <c r="U179" s="241"/>
      <c r="V179" s="895"/>
      <c r="W179" s="895"/>
      <c r="X179" s="895"/>
      <c r="Y179" s="895"/>
      <c r="Z179" s="895"/>
      <c r="AA179" s="341"/>
      <c r="AB179" s="341"/>
      <c r="AC179" s="341"/>
      <c r="AD179" s="341"/>
      <c r="AE179" s="341"/>
      <c r="AF179" s="341"/>
      <c r="AG179" s="863"/>
      <c r="AH179" s="863"/>
      <c r="AI179" s="863"/>
      <c r="AJ179" s="863"/>
      <c r="OW179"/>
      <c r="OX179"/>
      <c r="OY179"/>
      <c r="OZ179"/>
      <c r="PA179"/>
      <c r="PB179"/>
      <c r="PC179"/>
      <c r="PD179"/>
      <c r="PE179"/>
      <c r="PF179"/>
      <c r="PG179"/>
      <c r="PH179"/>
      <c r="PI179"/>
      <c r="PJ179"/>
      <c r="PK179"/>
      <c r="PL179"/>
      <c r="PM179"/>
      <c r="PN179"/>
      <c r="PO179"/>
      <c r="PP179"/>
      <c r="SZ179" s="558"/>
      <c r="TA179" s="558"/>
      <c r="TB179" s="558"/>
      <c r="TC179" s="558"/>
    </row>
    <row r="180" spans="20:523" x14ac:dyDescent="0.35">
      <c r="T180" s="241"/>
      <c r="U180" s="241"/>
      <c r="V180" s="895"/>
      <c r="W180" s="895"/>
      <c r="X180" s="895"/>
      <c r="Y180" s="895"/>
      <c r="Z180" s="895"/>
      <c r="AA180" s="341"/>
      <c r="AB180" s="341"/>
      <c r="AC180" s="341"/>
      <c r="AD180" s="341"/>
      <c r="AE180" s="341"/>
      <c r="AF180" s="341"/>
      <c r="AG180" s="911"/>
      <c r="AH180" s="911"/>
      <c r="AI180" s="911"/>
      <c r="AJ180" s="911"/>
      <c r="OW180"/>
      <c r="OX180"/>
      <c r="OY180"/>
      <c r="OZ180"/>
      <c r="PA180"/>
      <c r="PB180"/>
      <c r="PC180"/>
      <c r="PD180"/>
      <c r="PE180"/>
      <c r="PF180"/>
      <c r="PG180"/>
      <c r="PH180"/>
      <c r="PI180"/>
      <c r="PJ180"/>
      <c r="PK180"/>
      <c r="PL180"/>
      <c r="PM180"/>
      <c r="PN180"/>
      <c r="PO180"/>
      <c r="PP180"/>
      <c r="SZ180" s="557"/>
      <c r="TA180" s="557"/>
      <c r="TB180" s="557">
        <v>41843355.537180007</v>
      </c>
      <c r="TC180" s="557">
        <v>165839928.06287801</v>
      </c>
    </row>
    <row r="181" spans="20:523" x14ac:dyDescent="0.35">
      <c r="T181" s="241"/>
      <c r="U181" s="241"/>
      <c r="V181" s="895"/>
      <c r="W181" s="895"/>
      <c r="X181" s="895"/>
      <c r="Y181" s="895"/>
      <c r="Z181" s="895"/>
      <c r="AA181" s="341"/>
      <c r="AB181" s="341"/>
      <c r="AC181" s="341"/>
      <c r="AD181" s="341"/>
      <c r="AE181" s="341"/>
      <c r="AF181" s="341"/>
      <c r="AG181" s="910"/>
      <c r="AH181" s="910"/>
      <c r="AI181" s="910"/>
      <c r="AJ181" s="910"/>
      <c r="OW181"/>
      <c r="OX181"/>
      <c r="OY181"/>
      <c r="OZ181"/>
      <c r="PA181"/>
      <c r="PB181"/>
      <c r="PC181"/>
      <c r="PD181"/>
      <c r="PE181"/>
      <c r="PF181"/>
      <c r="PG181"/>
      <c r="PH181"/>
      <c r="PI181"/>
      <c r="PJ181"/>
      <c r="PK181"/>
      <c r="PL181"/>
      <c r="PM181"/>
      <c r="PN181"/>
      <c r="PO181"/>
      <c r="PP181"/>
      <c r="SZ181" s="556"/>
      <c r="TA181" s="556"/>
      <c r="TB181" s="556">
        <v>-16696738.413552009</v>
      </c>
      <c r="TC181" s="556">
        <v>-37267733.144352004</v>
      </c>
    </row>
    <row r="182" spans="20:523" x14ac:dyDescent="0.35">
      <c r="T182" s="241"/>
      <c r="U182" s="241"/>
      <c r="V182" s="895"/>
      <c r="W182" s="895"/>
      <c r="X182" s="895"/>
      <c r="Y182" s="895"/>
      <c r="Z182" s="895"/>
      <c r="AA182" s="341"/>
      <c r="AB182" s="341"/>
      <c r="AC182" s="341"/>
      <c r="AD182" s="341"/>
      <c r="AE182" s="341"/>
      <c r="AF182" s="341"/>
      <c r="AG182" s="863"/>
      <c r="AH182" s="863"/>
      <c r="AI182" s="863"/>
      <c r="AJ182" s="863"/>
      <c r="OW182"/>
      <c r="OX182"/>
      <c r="OY182"/>
      <c r="OZ182"/>
      <c r="PA182"/>
      <c r="PB182"/>
      <c r="PC182"/>
      <c r="PD182"/>
      <c r="PE182"/>
      <c r="PF182"/>
      <c r="PG182"/>
      <c r="PH182"/>
      <c r="PI182"/>
      <c r="PJ182"/>
      <c r="PK182"/>
      <c r="PL182"/>
      <c r="PM182"/>
      <c r="PN182"/>
      <c r="PO182"/>
      <c r="PP182"/>
      <c r="SZ182" s="555"/>
      <c r="TA182" s="555"/>
      <c r="TB182" s="555">
        <v>-2207900.3880740008</v>
      </c>
      <c r="TC182" s="555">
        <v>-5348143.3624300007</v>
      </c>
    </row>
    <row r="183" spans="20:523" ht="15" thickBot="1" x14ac:dyDescent="0.4">
      <c r="T183" s="241"/>
      <c r="U183" s="241"/>
      <c r="V183" s="895"/>
      <c r="W183" s="895"/>
      <c r="X183" s="895"/>
      <c r="Y183" s="895"/>
      <c r="Z183" s="895"/>
      <c r="AA183" s="341"/>
      <c r="AB183" s="341"/>
      <c r="AC183" s="341"/>
      <c r="AD183" s="341"/>
      <c r="AE183" s="341"/>
      <c r="AF183" s="341"/>
      <c r="AG183" s="865"/>
      <c r="AH183" s="865"/>
      <c r="AI183" s="865"/>
      <c r="AJ183" s="865"/>
      <c r="OW183"/>
      <c r="OX183"/>
      <c r="OY183"/>
      <c r="OZ183"/>
      <c r="PA183"/>
      <c r="PB183"/>
      <c r="PC183"/>
      <c r="PD183"/>
      <c r="PE183"/>
      <c r="PF183"/>
      <c r="PG183"/>
      <c r="PH183"/>
      <c r="PI183"/>
      <c r="PJ183"/>
      <c r="PK183"/>
      <c r="PL183"/>
      <c r="PM183"/>
      <c r="PN183"/>
      <c r="PO183"/>
      <c r="PP183"/>
      <c r="SZ183" s="553"/>
      <c r="TA183" s="553"/>
      <c r="TB183" s="553">
        <v>22938716.735553999</v>
      </c>
      <c r="TC183" s="553">
        <v>123224051.556096</v>
      </c>
    </row>
    <row r="184" spans="20:523" ht="15" thickTop="1" x14ac:dyDescent="0.35">
      <c r="T184" s="241"/>
      <c r="U184" s="241"/>
      <c r="V184" s="895"/>
      <c r="W184" s="895"/>
      <c r="X184" s="895"/>
      <c r="Y184" s="895"/>
      <c r="Z184" s="895"/>
      <c r="AA184" s="341"/>
      <c r="AB184" s="341"/>
      <c r="AC184" s="341"/>
      <c r="AD184" s="341"/>
      <c r="AE184" s="341"/>
      <c r="AF184" s="341"/>
      <c r="AG184" s="865"/>
      <c r="AH184" s="865"/>
      <c r="AI184" s="865"/>
      <c r="AJ184" s="865"/>
      <c r="OW184"/>
      <c r="OX184"/>
      <c r="OY184"/>
      <c r="OZ184"/>
      <c r="PA184"/>
      <c r="PB184"/>
      <c r="PC184"/>
      <c r="PD184"/>
      <c r="PE184"/>
      <c r="PF184"/>
      <c r="PG184"/>
      <c r="PH184"/>
      <c r="PI184"/>
      <c r="PJ184"/>
      <c r="PK184"/>
      <c r="PL184"/>
      <c r="PM184"/>
      <c r="PN184"/>
      <c r="PO184"/>
      <c r="PP184"/>
      <c r="SZ184" s="558"/>
      <c r="TA184" s="558"/>
      <c r="TB184" s="558"/>
      <c r="TC184" s="558"/>
    </row>
    <row r="185" spans="20:523" ht="15" thickBot="1" x14ac:dyDescent="0.4">
      <c r="T185" s="241"/>
      <c r="U185" s="241"/>
      <c r="V185" s="895"/>
      <c r="W185" s="895"/>
      <c r="X185" s="895"/>
      <c r="Y185" s="895"/>
      <c r="Z185" s="895"/>
      <c r="AA185" s="341"/>
      <c r="AB185" s="341"/>
      <c r="AC185" s="341"/>
      <c r="AD185" s="341"/>
      <c r="AE185" s="341"/>
      <c r="AF185" s="341"/>
      <c r="AG185" s="912"/>
      <c r="AH185" s="912"/>
      <c r="AI185" s="912"/>
      <c r="AJ185" s="912"/>
      <c r="OW185"/>
      <c r="OX185"/>
      <c r="OY185"/>
      <c r="OZ185"/>
      <c r="PA185"/>
      <c r="PB185"/>
      <c r="PC185"/>
      <c r="PD185"/>
      <c r="PE185"/>
      <c r="PF185"/>
      <c r="PG185"/>
      <c r="PH185"/>
      <c r="PI185"/>
      <c r="PJ185"/>
      <c r="PK185"/>
      <c r="PL185"/>
      <c r="PM185"/>
      <c r="PN185"/>
      <c r="PO185"/>
      <c r="PP185"/>
      <c r="SZ185" s="558"/>
      <c r="TA185" s="558"/>
      <c r="TB185" s="558"/>
      <c r="TC185" s="558"/>
    </row>
    <row r="186" spans="20:523" ht="15" thickTop="1" x14ac:dyDescent="0.35">
      <c r="T186" s="241"/>
      <c r="U186" s="241"/>
      <c r="V186" s="895"/>
      <c r="W186" s="895"/>
      <c r="X186" s="895"/>
      <c r="Y186" s="895"/>
      <c r="Z186" s="895"/>
      <c r="AA186" s="341"/>
      <c r="AB186" s="341"/>
      <c r="AC186" s="341"/>
      <c r="AD186" s="341"/>
      <c r="AE186" s="341"/>
      <c r="AF186" s="341"/>
      <c r="AG186" s="863"/>
      <c r="AH186" s="863"/>
      <c r="AI186" s="863"/>
      <c r="AJ186" s="863"/>
      <c r="OW186"/>
      <c r="OX186"/>
      <c r="OY186"/>
      <c r="OZ186"/>
      <c r="PA186"/>
      <c r="PB186"/>
      <c r="PC186"/>
      <c r="PD186"/>
      <c r="PE186"/>
      <c r="PF186"/>
      <c r="PG186"/>
      <c r="PH186"/>
      <c r="PI186"/>
      <c r="PJ186"/>
      <c r="PK186"/>
      <c r="PL186"/>
      <c r="PM186"/>
      <c r="PN186"/>
      <c r="PO186"/>
      <c r="PP186"/>
      <c r="SZ186" s="557"/>
      <c r="TA186" s="557"/>
      <c r="TB186" s="564">
        <v>8542731.5000000149</v>
      </c>
      <c r="TC186" s="557">
        <v>41074648.280000031</v>
      </c>
    </row>
    <row r="187" spans="20:523" x14ac:dyDescent="0.35">
      <c r="T187" s="241"/>
      <c r="U187" s="241"/>
      <c r="V187" s="895"/>
      <c r="W187" s="895"/>
      <c r="X187" s="895"/>
      <c r="Y187" s="895"/>
      <c r="Z187" s="895"/>
      <c r="AA187" s="341"/>
      <c r="AB187" s="341"/>
      <c r="AC187" s="341"/>
      <c r="AD187" s="341"/>
      <c r="AE187" s="341"/>
      <c r="AF187" s="341"/>
      <c r="AG187" s="913"/>
      <c r="AH187" s="913"/>
      <c r="AI187" s="913"/>
      <c r="AJ187" s="913"/>
      <c r="OW187"/>
      <c r="OX187"/>
      <c r="OY187"/>
      <c r="OZ187"/>
      <c r="PA187"/>
      <c r="PB187"/>
      <c r="PC187"/>
      <c r="PD187"/>
      <c r="PE187"/>
      <c r="PF187"/>
      <c r="PG187"/>
      <c r="PH187"/>
      <c r="PI187"/>
      <c r="PJ187"/>
      <c r="PK187"/>
      <c r="PL187"/>
      <c r="PM187"/>
      <c r="PN187"/>
      <c r="PO187"/>
      <c r="PP187"/>
      <c r="SZ187" s="556"/>
      <c r="TA187" s="556"/>
      <c r="TB187" s="563">
        <v>488186.452078</v>
      </c>
      <c r="TC187" s="556">
        <v>3911898.3094360004</v>
      </c>
    </row>
    <row r="188" spans="20:523" x14ac:dyDescent="0.35">
      <c r="T188" s="241"/>
      <c r="U188" s="241"/>
      <c r="V188" s="895"/>
      <c r="W188" s="895"/>
      <c r="X188" s="895"/>
      <c r="Y188" s="895"/>
      <c r="Z188" s="895"/>
      <c r="AA188" s="341"/>
      <c r="AB188" s="341"/>
      <c r="AC188" s="341"/>
      <c r="AD188" s="341"/>
      <c r="AE188" s="341"/>
      <c r="AF188" s="341"/>
      <c r="AG188" s="907"/>
      <c r="AH188" s="907"/>
      <c r="AI188" s="907"/>
      <c r="AJ188" s="907"/>
      <c r="OW188"/>
      <c r="OX188"/>
      <c r="OY188"/>
      <c r="OZ188"/>
      <c r="PA188"/>
      <c r="PB188"/>
      <c r="PC188"/>
      <c r="PD188"/>
      <c r="PE188"/>
      <c r="PF188"/>
      <c r="PG188"/>
      <c r="PH188"/>
      <c r="PI188"/>
      <c r="PJ188"/>
      <c r="PK188"/>
      <c r="PL188"/>
      <c r="PM188"/>
      <c r="PN188"/>
      <c r="PO188"/>
      <c r="PP188"/>
      <c r="SZ188" s="556"/>
      <c r="TA188" s="556"/>
      <c r="TB188" s="563">
        <v>197051.68000000095</v>
      </c>
      <c r="TC188" s="556">
        <v>1396014.800000001</v>
      </c>
    </row>
    <row r="189" spans="20:523" x14ac:dyDescent="0.35">
      <c r="T189" s="241"/>
      <c r="U189" s="241"/>
      <c r="V189" s="895"/>
      <c r="W189" s="895"/>
      <c r="X189" s="895"/>
      <c r="Y189" s="895"/>
      <c r="Z189" s="895"/>
      <c r="AA189" s="341"/>
      <c r="AB189" s="341"/>
      <c r="AC189" s="341"/>
      <c r="AD189" s="341"/>
      <c r="AE189" s="341"/>
      <c r="AF189" s="341"/>
      <c r="AG189" s="865"/>
      <c r="AH189" s="865"/>
      <c r="AI189" s="865"/>
      <c r="AJ189" s="865"/>
      <c r="OW189"/>
      <c r="OX189"/>
      <c r="OY189"/>
      <c r="OZ189"/>
      <c r="PA189"/>
      <c r="PB189"/>
      <c r="PC189"/>
      <c r="PD189"/>
      <c r="PE189"/>
      <c r="PF189"/>
      <c r="PG189"/>
      <c r="PH189"/>
      <c r="PI189"/>
      <c r="PJ189"/>
      <c r="PK189"/>
      <c r="PL189"/>
      <c r="PM189"/>
      <c r="PN189"/>
      <c r="PO189"/>
      <c r="PP189"/>
      <c r="SZ189" s="555"/>
      <c r="TA189" s="555"/>
      <c r="TB189" s="562">
        <v>5709093.0718640033</v>
      </c>
      <c r="TC189" s="555">
        <v>23247485.050140008</v>
      </c>
    </row>
    <row r="190" spans="20:523" ht="15" thickBot="1" x14ac:dyDescent="0.4">
      <c r="T190" s="241"/>
      <c r="U190" s="241"/>
      <c r="V190" s="895"/>
      <c r="W190" s="895"/>
      <c r="X190" s="895"/>
      <c r="Y190" s="895"/>
      <c r="Z190" s="895"/>
      <c r="AA190" s="341"/>
      <c r="AB190" s="341"/>
      <c r="AC190" s="341"/>
      <c r="AD190" s="341"/>
      <c r="AE190" s="341"/>
      <c r="AF190" s="341"/>
      <c r="AG190" s="914"/>
      <c r="AH190" s="914"/>
      <c r="AI190" s="914"/>
      <c r="AJ190" s="914"/>
      <c r="OW190"/>
      <c r="OX190"/>
      <c r="OY190"/>
      <c r="OZ190"/>
      <c r="PA190"/>
      <c r="PB190"/>
      <c r="PC190"/>
      <c r="PD190"/>
      <c r="PE190"/>
      <c r="PF190"/>
      <c r="PG190"/>
      <c r="PH190"/>
      <c r="PI190"/>
      <c r="PJ190"/>
      <c r="PK190"/>
      <c r="PL190"/>
      <c r="PM190"/>
      <c r="PN190"/>
      <c r="PO190"/>
      <c r="PP190"/>
      <c r="SZ190" s="556"/>
      <c r="TA190" s="556"/>
      <c r="TB190" s="556">
        <v>14937062.703942019</v>
      </c>
      <c r="TC190" s="556">
        <v>69630046.439576045</v>
      </c>
    </row>
    <row r="191" spans="20:523" ht="15" thickTop="1" x14ac:dyDescent="0.35">
      <c r="T191" s="241"/>
      <c r="U191" s="241"/>
      <c r="V191" s="895"/>
      <c r="W191" s="895"/>
      <c r="X191" s="895"/>
      <c r="Y191" s="895"/>
      <c r="Z191" s="895"/>
      <c r="AA191" s="341"/>
      <c r="AB191" s="341"/>
      <c r="AC191" s="341"/>
      <c r="AD191" s="341"/>
      <c r="AE191" s="341"/>
      <c r="AF191" s="341"/>
      <c r="AG191" s="915"/>
      <c r="AH191" s="915"/>
      <c r="AI191" s="915"/>
      <c r="AJ191" s="915"/>
      <c r="OW191"/>
      <c r="OX191"/>
      <c r="OY191"/>
      <c r="OZ191"/>
      <c r="PA191"/>
      <c r="PB191"/>
      <c r="PC191"/>
      <c r="PD191"/>
      <c r="PE191"/>
      <c r="PF191"/>
      <c r="PG191"/>
      <c r="PH191"/>
      <c r="PI191"/>
      <c r="PJ191"/>
      <c r="PK191"/>
      <c r="PL191"/>
      <c r="PM191"/>
      <c r="PN191"/>
      <c r="PO191"/>
      <c r="PP191"/>
      <c r="SZ191" s="556"/>
      <c r="TA191" s="556"/>
      <c r="TB191" s="556"/>
      <c r="TC191" s="556"/>
    </row>
    <row r="192" spans="20:523" x14ac:dyDescent="0.35">
      <c r="T192" s="241"/>
      <c r="U192" s="241"/>
      <c r="V192" s="895"/>
      <c r="W192" s="895"/>
      <c r="X192" s="895"/>
      <c r="Y192" s="895"/>
      <c r="Z192" s="895"/>
      <c r="AA192" s="341"/>
      <c r="AB192" s="341"/>
      <c r="AC192" s="341"/>
      <c r="AD192" s="341"/>
      <c r="AE192" s="341"/>
      <c r="AF192" s="341"/>
      <c r="AG192" s="863"/>
      <c r="AH192" s="863"/>
      <c r="AI192" s="863"/>
      <c r="AJ192" s="863"/>
      <c r="OW192"/>
      <c r="OX192"/>
      <c r="OY192"/>
      <c r="OZ192"/>
      <c r="PA192"/>
      <c r="PB192"/>
      <c r="PC192"/>
      <c r="PD192"/>
      <c r="PE192"/>
      <c r="PF192"/>
      <c r="PG192"/>
      <c r="PH192"/>
      <c r="PI192"/>
      <c r="PJ192"/>
      <c r="PK192"/>
      <c r="PL192"/>
      <c r="PM192"/>
      <c r="PN192"/>
      <c r="PO192"/>
      <c r="PP192"/>
      <c r="SZ192" s="556"/>
      <c r="TA192" s="556"/>
      <c r="TB192" s="556">
        <v>14937062.703942019</v>
      </c>
      <c r="TC192" s="556">
        <v>69630046.439576045</v>
      </c>
    </row>
    <row r="193" spans="20:523" x14ac:dyDescent="0.35">
      <c r="T193" s="241"/>
      <c r="U193" s="241"/>
      <c r="V193" s="895"/>
      <c r="W193" s="895"/>
      <c r="X193" s="895"/>
      <c r="Y193" s="895"/>
      <c r="Z193" s="895"/>
      <c r="AA193" s="341"/>
      <c r="AB193" s="341"/>
      <c r="AC193" s="341"/>
      <c r="AD193" s="341"/>
      <c r="AE193" s="341"/>
      <c r="AF193" s="341"/>
      <c r="AG193" s="863"/>
      <c r="AH193" s="863"/>
      <c r="AI193" s="863"/>
      <c r="AJ193" s="863"/>
      <c r="OW193"/>
      <c r="OX193"/>
      <c r="OY193"/>
      <c r="OZ193"/>
      <c r="PA193"/>
      <c r="PB193"/>
      <c r="PC193"/>
      <c r="PD193"/>
      <c r="PE193"/>
      <c r="PF193"/>
      <c r="PG193"/>
      <c r="PH193"/>
      <c r="PI193"/>
      <c r="PJ193"/>
      <c r="PK193"/>
      <c r="PL193"/>
      <c r="PM193"/>
      <c r="PN193"/>
      <c r="PO193"/>
      <c r="PP193"/>
      <c r="SZ193" s="561"/>
      <c r="TA193" s="561"/>
      <c r="TB193" s="561"/>
      <c r="TC193" s="561"/>
    </row>
    <row r="194" spans="20:523" x14ac:dyDescent="0.35">
      <c r="T194" s="241"/>
      <c r="U194" s="241"/>
      <c r="V194" s="895"/>
      <c r="W194" s="895"/>
      <c r="X194" s="895"/>
      <c r="Y194" s="895"/>
      <c r="Z194" s="895"/>
      <c r="AA194" s="341"/>
      <c r="AB194" s="341"/>
      <c r="AC194" s="341"/>
      <c r="AD194" s="341"/>
      <c r="AE194" s="341"/>
      <c r="AF194" s="341"/>
      <c r="AG194" s="863"/>
      <c r="AH194" s="863"/>
      <c r="AI194" s="863"/>
      <c r="AJ194" s="863"/>
      <c r="OW194"/>
      <c r="OX194"/>
      <c r="OY194"/>
      <c r="OZ194"/>
      <c r="PA194"/>
      <c r="PB194"/>
      <c r="PC194"/>
      <c r="PD194"/>
      <c r="PE194"/>
      <c r="PF194"/>
      <c r="PG194"/>
      <c r="PH194"/>
      <c r="PI194"/>
      <c r="PJ194"/>
      <c r="PK194"/>
      <c r="PL194"/>
      <c r="PM194"/>
      <c r="PN194"/>
      <c r="PO194"/>
      <c r="PP194"/>
      <c r="SZ194" s="555"/>
      <c r="TA194" s="555"/>
      <c r="TB194" s="555">
        <v>-3136783.1678278241</v>
      </c>
      <c r="TC194" s="555">
        <v>-14622309.752310969</v>
      </c>
    </row>
    <row r="195" spans="20:523" x14ac:dyDescent="0.35">
      <c r="T195" s="241"/>
      <c r="U195" s="241"/>
      <c r="V195" s="895"/>
      <c r="W195" s="895"/>
      <c r="X195" s="895"/>
      <c r="Y195" s="895"/>
      <c r="Z195" s="895"/>
      <c r="AA195" s="341"/>
      <c r="AB195" s="341"/>
      <c r="AC195" s="341"/>
      <c r="AD195" s="341"/>
      <c r="AE195" s="341"/>
      <c r="AF195" s="341"/>
      <c r="AG195" s="863"/>
      <c r="AH195" s="863"/>
      <c r="AI195" s="863"/>
      <c r="AJ195" s="863"/>
      <c r="OW195"/>
      <c r="OX195"/>
      <c r="OY195"/>
      <c r="OZ195"/>
      <c r="PA195"/>
      <c r="PB195"/>
      <c r="PC195"/>
      <c r="PD195"/>
      <c r="PE195"/>
      <c r="PF195"/>
      <c r="PG195"/>
      <c r="PH195"/>
      <c r="PI195"/>
      <c r="PJ195"/>
      <c r="PK195"/>
      <c r="PL195"/>
      <c r="PM195"/>
      <c r="PN195"/>
      <c r="PO195"/>
      <c r="PP195"/>
      <c r="SZ195" s="560"/>
      <c r="TA195" s="560"/>
      <c r="TB195" s="560"/>
      <c r="TC195" s="560"/>
    </row>
    <row r="196" spans="20:523" ht="15" thickBot="1" x14ac:dyDescent="0.4">
      <c r="T196" s="241"/>
      <c r="U196" s="241"/>
      <c r="V196" s="895"/>
      <c r="W196" s="895"/>
      <c r="X196" s="895"/>
      <c r="Y196" s="895"/>
      <c r="Z196" s="895"/>
      <c r="AA196" s="341"/>
      <c r="AB196" s="341"/>
      <c r="AC196" s="341"/>
      <c r="AD196" s="341"/>
      <c r="AE196" s="341"/>
      <c r="AF196" s="341"/>
      <c r="AG196" s="863"/>
      <c r="AH196" s="863"/>
      <c r="AI196" s="863"/>
      <c r="AJ196" s="863"/>
      <c r="OW196"/>
      <c r="OX196"/>
      <c r="OY196"/>
      <c r="OZ196"/>
      <c r="PA196"/>
      <c r="PB196"/>
      <c r="PC196"/>
      <c r="PD196"/>
      <c r="PE196"/>
      <c r="PF196"/>
      <c r="PG196"/>
      <c r="PH196"/>
      <c r="PI196"/>
      <c r="PJ196"/>
      <c r="PK196"/>
      <c r="PL196"/>
      <c r="PM196"/>
      <c r="PN196"/>
      <c r="PO196"/>
      <c r="PP196"/>
      <c r="SZ196" s="559"/>
      <c r="TA196" s="559"/>
      <c r="TB196" s="559">
        <v>-11800279.536114195</v>
      </c>
      <c r="TC196" s="559">
        <v>-55007736.687265076</v>
      </c>
    </row>
    <row r="197" spans="20:523" ht="15" thickTop="1" x14ac:dyDescent="0.35">
      <c r="T197" s="241"/>
      <c r="U197" s="241"/>
      <c r="V197" s="895"/>
      <c r="W197" s="895"/>
      <c r="X197" s="895"/>
      <c r="Y197" s="895"/>
      <c r="Z197" s="895"/>
      <c r="AA197" s="341"/>
      <c r="AB197" s="341"/>
      <c r="AC197" s="341"/>
      <c r="AD197" s="341"/>
      <c r="AE197" s="341"/>
      <c r="AF197" s="341"/>
      <c r="AG197" s="863"/>
      <c r="AH197" s="863"/>
      <c r="AI197" s="863"/>
      <c r="AJ197" s="863"/>
      <c r="OW197"/>
      <c r="OX197"/>
      <c r="OY197"/>
      <c r="OZ197"/>
      <c r="PA197"/>
      <c r="PB197"/>
      <c r="PC197"/>
      <c r="PD197"/>
      <c r="PE197"/>
      <c r="PF197"/>
      <c r="PG197"/>
      <c r="PH197"/>
      <c r="PI197"/>
      <c r="PJ197"/>
      <c r="PK197"/>
      <c r="PL197"/>
      <c r="PM197"/>
      <c r="PN197"/>
      <c r="PO197"/>
      <c r="PP197"/>
      <c r="SZ197" s="558"/>
      <c r="TA197" s="558"/>
      <c r="TB197" s="558"/>
      <c r="TC197" s="558"/>
    </row>
    <row r="198" spans="20:523" x14ac:dyDescent="0.35">
      <c r="T198" s="241"/>
      <c r="U198" s="241"/>
      <c r="V198" s="895"/>
      <c r="W198" s="895"/>
      <c r="X198" s="895"/>
      <c r="Y198" s="895"/>
      <c r="Z198" s="895"/>
      <c r="AA198" s="341"/>
      <c r="AB198" s="341"/>
      <c r="AC198" s="341"/>
      <c r="AD198" s="341"/>
      <c r="AE198" s="341"/>
      <c r="AF198" s="341"/>
      <c r="AG198" s="863"/>
      <c r="AH198" s="863"/>
      <c r="AI198" s="863"/>
      <c r="AJ198" s="863"/>
      <c r="OW198"/>
      <c r="OX198"/>
      <c r="OY198"/>
      <c r="OZ198"/>
      <c r="PA198"/>
      <c r="PB198"/>
      <c r="PC198"/>
      <c r="PD198"/>
      <c r="PE198"/>
      <c r="PF198"/>
      <c r="PG198"/>
      <c r="PH198"/>
      <c r="PI198"/>
      <c r="PJ198"/>
      <c r="PK198"/>
      <c r="PL198"/>
      <c r="PM198"/>
      <c r="PN198"/>
      <c r="PO198"/>
      <c r="PP198"/>
      <c r="SZ198" s="557"/>
      <c r="TA198" s="557"/>
      <c r="TB198" s="557">
        <v>318588808.81419563</v>
      </c>
      <c r="TC198" s="557">
        <v>1499337030.4361038</v>
      </c>
    </row>
    <row r="199" spans="20:523" ht="15" thickBot="1" x14ac:dyDescent="0.4">
      <c r="T199" s="241"/>
      <c r="U199" s="241"/>
      <c r="V199" s="895"/>
      <c r="W199" s="895"/>
      <c r="X199" s="895"/>
      <c r="Y199" s="895"/>
      <c r="Z199" s="895"/>
      <c r="AA199" s="341"/>
      <c r="AB199" s="341"/>
      <c r="AC199" s="341"/>
      <c r="AD199" s="341"/>
      <c r="AE199" s="341"/>
      <c r="AF199" s="341"/>
      <c r="AG199" s="914"/>
      <c r="AH199" s="914"/>
      <c r="AI199" s="914"/>
      <c r="AJ199" s="914"/>
      <c r="OW199"/>
      <c r="OX199"/>
      <c r="OY199"/>
      <c r="OZ199"/>
      <c r="PA199"/>
      <c r="PB199"/>
      <c r="PC199"/>
      <c r="PD199"/>
      <c r="PE199"/>
      <c r="PF199"/>
      <c r="PG199"/>
      <c r="PH199"/>
      <c r="PI199"/>
      <c r="PJ199"/>
      <c r="PK199"/>
      <c r="PL199"/>
      <c r="PM199"/>
      <c r="PN199"/>
      <c r="PO199"/>
      <c r="PP199"/>
      <c r="SZ199" s="556"/>
      <c r="TA199" s="556"/>
      <c r="TB199" s="556">
        <v>-62121152.836156011</v>
      </c>
      <c r="TC199" s="556">
        <v>-140996610.36604401</v>
      </c>
    </row>
    <row r="200" spans="20:523" ht="15" thickTop="1" x14ac:dyDescent="0.35">
      <c r="T200" s="241"/>
      <c r="U200" s="241"/>
      <c r="V200" s="895"/>
      <c r="W200" s="895"/>
      <c r="X200" s="895"/>
      <c r="Y200" s="895"/>
      <c r="Z200" s="895"/>
      <c r="AA200" s="341"/>
      <c r="AB200" s="341"/>
      <c r="AC200" s="341"/>
      <c r="AD200" s="341"/>
      <c r="AE200" s="341"/>
      <c r="AF200" s="341"/>
      <c r="AG200" s="916"/>
      <c r="AH200" s="916"/>
      <c r="AI200" s="916"/>
      <c r="AJ200" s="916"/>
      <c r="OW200"/>
      <c r="OX200"/>
      <c r="OY200"/>
      <c r="OZ200"/>
      <c r="PA200"/>
      <c r="PB200"/>
      <c r="PC200"/>
      <c r="PD200"/>
      <c r="PE200"/>
      <c r="PF200"/>
      <c r="PG200"/>
      <c r="PH200"/>
      <c r="PI200"/>
      <c r="PJ200"/>
      <c r="PK200"/>
      <c r="PL200"/>
      <c r="PM200"/>
      <c r="PN200"/>
      <c r="PO200"/>
      <c r="PP200"/>
      <c r="SZ200" s="555"/>
      <c r="TA200" s="555"/>
      <c r="TB200" s="555">
        <v>-14627586.319661997</v>
      </c>
      <c r="TC200" s="555">
        <v>-35198836.125189997</v>
      </c>
    </row>
    <row r="201" spans="20:523" ht="15" thickBot="1" x14ac:dyDescent="0.4">
      <c r="T201" s="241"/>
      <c r="U201" s="241"/>
      <c r="V201" s="895"/>
      <c r="W201" s="895"/>
      <c r="X201" s="895"/>
      <c r="Y201" s="895"/>
      <c r="Z201" s="895"/>
      <c r="AA201" s="341"/>
      <c r="AB201" s="341"/>
      <c r="AC201" s="341"/>
      <c r="AD201" s="341"/>
      <c r="AE201" s="341"/>
      <c r="AF201" s="341"/>
      <c r="OW201"/>
      <c r="OX201"/>
      <c r="OY201"/>
      <c r="OZ201"/>
      <c r="PA201"/>
      <c r="PB201"/>
      <c r="PC201"/>
      <c r="PD201"/>
      <c r="PE201"/>
      <c r="PF201"/>
      <c r="PG201"/>
      <c r="PH201"/>
      <c r="PI201"/>
      <c r="PJ201"/>
      <c r="PK201"/>
      <c r="PL201"/>
      <c r="PM201"/>
      <c r="PN201"/>
      <c r="PO201"/>
      <c r="PP201"/>
      <c r="SZ201" s="553"/>
      <c r="TA201" s="553"/>
      <c r="TB201" s="553">
        <v>241840069.65837762</v>
      </c>
      <c r="TC201" s="553">
        <v>1323141583.9448698</v>
      </c>
    </row>
    <row r="202" spans="20:523" ht="15" thickTop="1" x14ac:dyDescent="0.35">
      <c r="T202" s="241"/>
      <c r="U202" s="241"/>
      <c r="V202" s="895"/>
      <c r="W202" s="895"/>
      <c r="X202" s="895"/>
      <c r="Y202" s="895"/>
      <c r="Z202" s="895"/>
      <c r="AA202" s="341"/>
      <c r="AB202" s="341"/>
      <c r="AC202" s="341"/>
      <c r="AD202" s="341"/>
      <c r="AE202" s="341"/>
      <c r="AF202" s="341"/>
      <c r="OW202"/>
      <c r="OX202"/>
      <c r="OY202"/>
      <c r="OZ202"/>
      <c r="PA202"/>
      <c r="PB202"/>
      <c r="PC202"/>
      <c r="PD202"/>
      <c r="PE202"/>
      <c r="PF202"/>
      <c r="PG202"/>
      <c r="PH202"/>
      <c r="PI202"/>
      <c r="PJ202"/>
      <c r="PK202"/>
      <c r="PL202"/>
      <c r="PM202"/>
      <c r="PN202"/>
      <c r="PO202"/>
      <c r="PP202"/>
    </row>
    <row r="203" spans="20:523" x14ac:dyDescent="0.35">
      <c r="T203" s="241"/>
      <c r="U203" s="241"/>
      <c r="V203" s="895"/>
      <c r="W203" s="895"/>
      <c r="X203" s="895"/>
      <c r="Y203" s="895"/>
      <c r="Z203" s="895"/>
      <c r="AA203" s="341"/>
      <c r="AB203" s="341"/>
      <c r="AC203" s="341"/>
      <c r="AD203" s="341"/>
      <c r="AE203" s="341"/>
      <c r="AF203" s="341"/>
      <c r="OW203"/>
      <c r="OX203"/>
      <c r="OY203"/>
      <c r="OZ203"/>
      <c r="PA203"/>
      <c r="PB203"/>
      <c r="PC203"/>
      <c r="PD203"/>
      <c r="PE203"/>
      <c r="PF203"/>
      <c r="PG203"/>
      <c r="PH203"/>
      <c r="PI203"/>
      <c r="PJ203"/>
      <c r="PK203"/>
      <c r="PL203"/>
      <c r="PM203"/>
      <c r="PN203"/>
      <c r="PO203"/>
      <c r="PP203"/>
    </row>
    <row r="204" spans="20:523" x14ac:dyDescent="0.35">
      <c r="T204" s="241"/>
      <c r="U204" s="241"/>
      <c r="V204" s="895"/>
      <c r="W204" s="895"/>
      <c r="X204" s="895"/>
      <c r="Y204" s="895"/>
      <c r="Z204" s="895"/>
      <c r="AA204" s="341"/>
      <c r="AB204" s="341"/>
      <c r="AC204" s="341"/>
      <c r="AD204" s="341"/>
      <c r="AE204" s="341"/>
      <c r="AF204" s="341"/>
      <c r="OW204"/>
      <c r="OX204"/>
      <c r="OY204"/>
      <c r="OZ204"/>
      <c r="PA204"/>
      <c r="PB204"/>
      <c r="PC204"/>
      <c r="PD204"/>
      <c r="PE204"/>
      <c r="PF204"/>
      <c r="PG204"/>
      <c r="PH204"/>
      <c r="PI204"/>
      <c r="PJ204"/>
      <c r="PK204"/>
      <c r="PL204"/>
      <c r="PM204"/>
      <c r="PN204"/>
      <c r="PO204"/>
      <c r="PP204"/>
    </row>
    <row r="205" spans="20:523" x14ac:dyDescent="0.35">
      <c r="T205" s="241"/>
      <c r="U205" s="241"/>
      <c r="V205" s="895"/>
      <c r="W205" s="895"/>
      <c r="X205" s="895"/>
      <c r="Y205" s="895"/>
      <c r="Z205" s="895"/>
      <c r="AA205" s="341"/>
      <c r="AB205" s="341"/>
      <c r="AC205" s="341"/>
      <c r="AD205" s="341"/>
      <c r="AE205" s="341"/>
      <c r="AF205" s="341"/>
      <c r="OW205"/>
      <c r="OX205"/>
      <c r="OY205"/>
      <c r="OZ205"/>
      <c r="PA205"/>
      <c r="PB205"/>
      <c r="PC205"/>
      <c r="PD205"/>
      <c r="PE205"/>
      <c r="PF205"/>
      <c r="PG205"/>
      <c r="PH205"/>
      <c r="PI205"/>
      <c r="PJ205"/>
      <c r="PK205"/>
      <c r="PL205"/>
      <c r="PM205"/>
      <c r="PN205"/>
      <c r="PO205"/>
      <c r="PP205"/>
      <c r="SZ205" s="572"/>
      <c r="TA205" s="572"/>
      <c r="TB205" s="572" t="s">
        <v>340</v>
      </c>
      <c r="TC205" s="572" t="s">
        <v>341</v>
      </c>
    </row>
    <row r="206" spans="20:523" x14ac:dyDescent="0.35">
      <c r="T206" s="241"/>
      <c r="U206" s="241"/>
      <c r="V206" s="895"/>
      <c r="W206" s="895"/>
      <c r="X206" s="895"/>
      <c r="Y206" s="895"/>
      <c r="Z206" s="895"/>
      <c r="AA206" s="341"/>
      <c r="AB206" s="341"/>
      <c r="AC206" s="341"/>
      <c r="AD206" s="341"/>
      <c r="AE206" s="341"/>
      <c r="AF206" s="341"/>
      <c r="OW206"/>
      <c r="OX206"/>
      <c r="OY206"/>
      <c r="OZ206"/>
      <c r="PA206"/>
      <c r="PB206"/>
      <c r="PC206"/>
      <c r="PD206"/>
      <c r="PE206"/>
      <c r="PF206"/>
      <c r="PG206"/>
      <c r="PH206"/>
      <c r="PI206"/>
      <c r="PJ206"/>
      <c r="PK206"/>
      <c r="PL206"/>
      <c r="PM206"/>
      <c r="PN206"/>
      <c r="PO206"/>
      <c r="PP206"/>
      <c r="SZ206" s="571"/>
      <c r="TA206" s="571"/>
      <c r="TB206" s="571">
        <v>2025</v>
      </c>
      <c r="TC206" s="570" t="s">
        <v>12</v>
      </c>
    </row>
    <row r="207" spans="20:523" x14ac:dyDescent="0.35">
      <c r="T207" s="241"/>
      <c r="U207" s="241"/>
      <c r="V207" s="895"/>
      <c r="W207" s="895"/>
      <c r="X207" s="895"/>
      <c r="Y207" s="895"/>
      <c r="Z207" s="895"/>
      <c r="AA207" s="341"/>
      <c r="AB207" s="341"/>
      <c r="AC207" s="341"/>
      <c r="AD207" s="341"/>
      <c r="AE207" s="341"/>
      <c r="AF207" s="341"/>
      <c r="OW207"/>
      <c r="OX207"/>
      <c r="OY207"/>
      <c r="OZ207"/>
      <c r="PA207"/>
      <c r="PB207"/>
      <c r="PC207"/>
      <c r="PD207"/>
      <c r="PE207"/>
      <c r="PF207"/>
      <c r="PG207"/>
      <c r="PH207"/>
      <c r="PI207"/>
      <c r="PJ207"/>
      <c r="PK207"/>
      <c r="PL207"/>
      <c r="PM207"/>
      <c r="PN207"/>
      <c r="PO207"/>
      <c r="PP207"/>
      <c r="SZ207" s="569"/>
      <c r="TA207" s="569"/>
      <c r="TB207" s="569" t="s">
        <v>39</v>
      </c>
      <c r="TC207" s="568" t="s">
        <v>31</v>
      </c>
    </row>
    <row r="208" spans="20:523" x14ac:dyDescent="0.35">
      <c r="T208" s="241"/>
      <c r="U208" s="241"/>
      <c r="V208" s="895"/>
      <c r="W208" s="895"/>
      <c r="X208" s="895"/>
      <c r="Y208" s="895"/>
      <c r="Z208" s="895"/>
      <c r="AA208" s="341"/>
      <c r="AB208" s="341"/>
      <c r="AC208" s="341"/>
      <c r="AD208" s="341"/>
      <c r="AE208" s="341"/>
      <c r="AF208" s="341"/>
      <c r="OZ208"/>
      <c r="PA208"/>
      <c r="PB208"/>
      <c r="PC208"/>
      <c r="PD208"/>
      <c r="PE208"/>
      <c r="PF208"/>
      <c r="PG208"/>
      <c r="PH208"/>
      <c r="PI208"/>
      <c r="PJ208"/>
      <c r="PK208"/>
      <c r="PL208"/>
      <c r="PM208"/>
      <c r="PN208"/>
      <c r="PO208"/>
      <c r="PP208"/>
      <c r="SZ208" s="569"/>
      <c r="TA208" s="569"/>
      <c r="TB208" s="569" t="s">
        <v>35</v>
      </c>
      <c r="TC208" s="568" t="s">
        <v>40</v>
      </c>
    </row>
    <row r="209" spans="20:523" x14ac:dyDescent="0.35">
      <c r="T209" s="241"/>
      <c r="U209" s="241"/>
      <c r="V209" s="895"/>
      <c r="W209" s="895"/>
      <c r="X209" s="895"/>
      <c r="Y209" s="895"/>
      <c r="Z209" s="895"/>
      <c r="AA209" s="341"/>
      <c r="AB209" s="341"/>
      <c r="AC209" s="341"/>
      <c r="AD209" s="341"/>
      <c r="AE209" s="341"/>
      <c r="AF209" s="341"/>
      <c r="OZ209"/>
      <c r="PA209"/>
      <c r="PB209"/>
      <c r="PC209"/>
      <c r="PD209"/>
      <c r="PE209"/>
      <c r="PF209"/>
      <c r="PG209"/>
      <c r="PH209"/>
      <c r="PI209"/>
      <c r="PJ209"/>
      <c r="PK209"/>
      <c r="PL209"/>
      <c r="PM209"/>
      <c r="PN209"/>
      <c r="PO209"/>
      <c r="PP209"/>
      <c r="SZ209" s="567"/>
      <c r="TA209" s="567"/>
      <c r="TB209" s="567" t="s">
        <v>10</v>
      </c>
      <c r="TC209" s="566" t="s">
        <v>39</v>
      </c>
    </row>
    <row r="210" spans="20:523" x14ac:dyDescent="0.35">
      <c r="T210" s="241"/>
      <c r="U210" s="241"/>
      <c r="V210" s="895"/>
      <c r="W210" s="895"/>
      <c r="X210" s="895"/>
      <c r="Y210" s="895"/>
      <c r="Z210" s="895"/>
      <c r="AA210" s="341"/>
      <c r="AB210" s="341"/>
      <c r="AC210" s="341"/>
      <c r="AD210" s="341"/>
      <c r="AE210" s="341"/>
      <c r="AF210" s="341"/>
      <c r="OZ210"/>
      <c r="PA210"/>
      <c r="PB210"/>
      <c r="PC210"/>
      <c r="PD210"/>
      <c r="PE210"/>
      <c r="PF210"/>
      <c r="PG210"/>
      <c r="PH210"/>
      <c r="PI210"/>
      <c r="PJ210"/>
      <c r="PK210"/>
      <c r="PL210"/>
      <c r="PM210"/>
      <c r="PN210"/>
      <c r="PO210"/>
      <c r="PP210"/>
      <c r="SZ210" s="565"/>
      <c r="TA210" s="565"/>
      <c r="TB210" s="565" t="s">
        <v>47</v>
      </c>
      <c r="TC210" s="565" t="s">
        <v>839</v>
      </c>
    </row>
    <row r="211" spans="20:523" x14ac:dyDescent="0.35">
      <c r="T211" s="241"/>
      <c r="U211" s="241"/>
      <c r="V211" s="895"/>
      <c r="W211" s="895"/>
      <c r="X211" s="895"/>
      <c r="Y211" s="895"/>
      <c r="Z211" s="895"/>
      <c r="AA211" s="341"/>
      <c r="AB211" s="341"/>
      <c r="AC211" s="341"/>
      <c r="AD211" s="341"/>
      <c r="AE211" s="341"/>
      <c r="AF211" s="341"/>
      <c r="OZ211"/>
      <c r="PA211"/>
      <c r="PB211"/>
      <c r="PC211"/>
      <c r="PD211"/>
      <c r="PE211"/>
      <c r="PF211"/>
      <c r="PG211"/>
      <c r="PH211"/>
      <c r="PI211"/>
      <c r="PJ211"/>
      <c r="PK211"/>
      <c r="PL211"/>
      <c r="PM211"/>
      <c r="PN211"/>
      <c r="PO211"/>
      <c r="PP211"/>
      <c r="SZ211" s="554"/>
      <c r="TA211" s="554"/>
      <c r="TB211" s="554"/>
      <c r="TC211" s="554"/>
    </row>
    <row r="212" spans="20:523" x14ac:dyDescent="0.35">
      <c r="T212" s="241"/>
      <c r="U212" s="241"/>
      <c r="V212" s="895"/>
      <c r="W212" s="895"/>
      <c r="X212" s="895"/>
      <c r="Y212" s="895"/>
      <c r="Z212" s="895"/>
      <c r="AA212" s="341"/>
      <c r="AB212" s="341"/>
      <c r="AC212" s="341"/>
      <c r="AD212" s="341"/>
      <c r="AE212" s="341"/>
      <c r="AF212" s="341"/>
      <c r="OZ212"/>
      <c r="PA212"/>
      <c r="PB212"/>
      <c r="PC212"/>
      <c r="PD212"/>
      <c r="PE212"/>
      <c r="PF212"/>
      <c r="PG212"/>
      <c r="PH212"/>
      <c r="PI212"/>
      <c r="PJ212"/>
      <c r="PK212"/>
      <c r="PL212"/>
      <c r="PM212"/>
      <c r="PN212"/>
      <c r="PO212"/>
      <c r="PP212"/>
      <c r="SZ212" s="557"/>
      <c r="TA212" s="557"/>
      <c r="TB212" s="564">
        <f t="shared" ref="TB212:TC212" si="281">TB16-TB114</f>
        <v>-5579374.4999999907</v>
      </c>
      <c r="TC212" s="557">
        <f t="shared" si="281"/>
        <v>-22166325.399999987</v>
      </c>
    </row>
    <row r="213" spans="20:523" x14ac:dyDescent="0.35">
      <c r="T213" s="241"/>
      <c r="U213" s="241"/>
      <c r="V213" s="895"/>
      <c r="W213" s="895"/>
      <c r="X213" s="895"/>
      <c r="Y213" s="895"/>
      <c r="Z213" s="895"/>
      <c r="AA213" s="341"/>
      <c r="AB213" s="341"/>
      <c r="AC213" s="341"/>
      <c r="AD213" s="341"/>
      <c r="AE213" s="341"/>
      <c r="AF213" s="341"/>
      <c r="OZ213"/>
      <c r="PA213"/>
      <c r="PB213"/>
      <c r="PC213"/>
      <c r="PD213"/>
      <c r="PE213"/>
      <c r="PF213"/>
      <c r="PG213"/>
      <c r="PH213"/>
      <c r="PI213"/>
      <c r="PJ213"/>
      <c r="PK213"/>
      <c r="PL213"/>
      <c r="PM213"/>
      <c r="PN213"/>
      <c r="PO213"/>
      <c r="PP213"/>
      <c r="SZ213" s="556"/>
      <c r="TA213" s="556"/>
      <c r="TB213" s="563">
        <f t="shared" ref="TB213:TC213" si="282">TB17-TB115</f>
        <v>0</v>
      </c>
      <c r="TC213" s="556">
        <f t="shared" si="282"/>
        <v>-2605590.9400559999</v>
      </c>
    </row>
    <row r="214" spans="20:523" x14ac:dyDescent="0.35">
      <c r="T214" s="241"/>
      <c r="U214" s="241"/>
      <c r="V214" s="895"/>
      <c r="W214" s="895"/>
      <c r="X214" s="895"/>
      <c r="Y214" s="895"/>
      <c r="Z214" s="895"/>
      <c r="AA214" s="341"/>
      <c r="AB214" s="341"/>
      <c r="AC214" s="341"/>
      <c r="AD214" s="341"/>
      <c r="AE214" s="341"/>
      <c r="AF214" s="341"/>
      <c r="OZ214"/>
      <c r="PA214"/>
      <c r="PB214"/>
      <c r="PC214"/>
      <c r="PD214"/>
      <c r="PE214"/>
      <c r="PF214"/>
      <c r="PG214"/>
      <c r="PH214"/>
      <c r="PI214"/>
      <c r="PJ214"/>
      <c r="PK214"/>
      <c r="PL214"/>
      <c r="PM214"/>
      <c r="PN214"/>
      <c r="PO214"/>
      <c r="PP214"/>
      <c r="SZ214" s="556"/>
      <c r="TA214" s="556"/>
      <c r="TB214" s="563">
        <f t="shared" ref="TB214:TC214" si="283">TB18-TB116</f>
        <v>-2786.3999999999996</v>
      </c>
      <c r="TC214" s="556">
        <f t="shared" si="283"/>
        <v>-10041.06</v>
      </c>
    </row>
    <row r="215" spans="20:523" x14ac:dyDescent="0.35">
      <c r="T215" s="241"/>
      <c r="U215" s="241"/>
      <c r="V215" s="895"/>
      <c r="W215" s="895"/>
      <c r="X215" s="895"/>
      <c r="Y215" s="895"/>
      <c r="Z215" s="895"/>
      <c r="AA215" s="341"/>
      <c r="AB215" s="341"/>
      <c r="AC215" s="341"/>
      <c r="AD215" s="341"/>
      <c r="AE215" s="341"/>
      <c r="AF215" s="341"/>
      <c r="OZ215"/>
      <c r="PA215"/>
      <c r="PB215"/>
      <c r="PC215"/>
      <c r="PD215"/>
      <c r="PE215"/>
      <c r="PF215"/>
      <c r="PG215"/>
      <c r="PH215"/>
      <c r="PI215"/>
      <c r="PJ215"/>
      <c r="PK215"/>
      <c r="PL215"/>
      <c r="PM215"/>
      <c r="PN215"/>
      <c r="PO215"/>
      <c r="PP215"/>
      <c r="SZ215" s="555"/>
      <c r="TA215" s="555"/>
      <c r="TB215" s="562">
        <f t="shared" ref="TB215:TC215" si="284">TB19-TB117</f>
        <v>-2288608.3824759992</v>
      </c>
      <c r="TC215" s="555">
        <f t="shared" si="284"/>
        <v>-8283744.0271300003</v>
      </c>
    </row>
    <row r="216" spans="20:523" x14ac:dyDescent="0.35">
      <c r="T216" s="241"/>
      <c r="U216" s="241"/>
      <c r="V216" s="895"/>
      <c r="W216" s="895"/>
      <c r="X216" s="895"/>
      <c r="Y216" s="895"/>
      <c r="Z216" s="895"/>
      <c r="AA216" s="341"/>
      <c r="AB216" s="341"/>
      <c r="AC216" s="341"/>
      <c r="AD216" s="341"/>
      <c r="AE216" s="341"/>
      <c r="AF216" s="341"/>
      <c r="OZ216"/>
      <c r="PA216"/>
      <c r="PB216"/>
      <c r="PC216"/>
      <c r="PD216"/>
      <c r="PE216"/>
      <c r="PF216"/>
      <c r="PG216"/>
      <c r="PH216"/>
      <c r="PI216"/>
      <c r="PJ216"/>
      <c r="PK216"/>
      <c r="PL216"/>
      <c r="PM216"/>
      <c r="PN216"/>
      <c r="PO216"/>
      <c r="PP216"/>
      <c r="SZ216" s="556"/>
      <c r="TA216" s="556"/>
      <c r="TB216" s="556">
        <f t="shared" ref="TB216:TC216" si="285">TB20-TB118</f>
        <v>-7870769.2824759902</v>
      </c>
      <c r="TC216" s="556">
        <f t="shared" si="285"/>
        <v>-33065701.427185986</v>
      </c>
    </row>
    <row r="217" spans="20:523" x14ac:dyDescent="0.35">
      <c r="T217" s="241"/>
      <c r="U217" s="241"/>
      <c r="V217" s="895"/>
      <c r="W217" s="895"/>
      <c r="X217" s="895"/>
      <c r="Y217" s="895"/>
      <c r="Z217" s="895"/>
      <c r="AA217" s="341"/>
      <c r="AB217" s="341"/>
      <c r="AC217" s="341"/>
      <c r="AD217" s="341"/>
      <c r="AE217" s="341"/>
      <c r="AF217" s="341"/>
      <c r="OZ217"/>
      <c r="PA217"/>
      <c r="PB217"/>
      <c r="PC217"/>
      <c r="PD217"/>
      <c r="PE217"/>
      <c r="PF217"/>
      <c r="PG217"/>
      <c r="PH217"/>
      <c r="PI217"/>
      <c r="PJ217"/>
      <c r="PK217"/>
      <c r="PL217"/>
      <c r="PM217"/>
      <c r="PN217"/>
      <c r="PO217"/>
      <c r="PP217"/>
      <c r="SZ217" s="556"/>
      <c r="TA217" s="556"/>
      <c r="TB217" s="556"/>
      <c r="TC217" s="556"/>
    </row>
    <row r="218" spans="20:523" x14ac:dyDescent="0.35">
      <c r="T218" s="241"/>
      <c r="U218" s="241"/>
      <c r="V218" s="895"/>
      <c r="W218" s="895"/>
      <c r="X218" s="895"/>
      <c r="Y218" s="895"/>
      <c r="Z218" s="895"/>
      <c r="AA218" s="341"/>
      <c r="AB218" s="341"/>
      <c r="AC218" s="341"/>
      <c r="AD218" s="341"/>
      <c r="AE218" s="341"/>
      <c r="AF218" s="341"/>
      <c r="OZ218"/>
      <c r="PA218"/>
      <c r="PB218"/>
      <c r="PC218"/>
      <c r="PD218"/>
      <c r="PE218"/>
      <c r="PF218"/>
      <c r="PG218"/>
      <c r="PH218"/>
      <c r="PI218"/>
      <c r="PJ218"/>
      <c r="PK218"/>
      <c r="PL218"/>
      <c r="PM218"/>
      <c r="PN218"/>
      <c r="PO218"/>
      <c r="PP218"/>
      <c r="SZ218" s="556"/>
      <c r="TA218" s="556"/>
      <c r="TB218" s="556">
        <f t="shared" ref="TB218:TC218" si="286">TB22-TB120</f>
        <v>-7870769.2824759902</v>
      </c>
      <c r="TC218" s="556">
        <f t="shared" si="286"/>
        <v>-33065701.427185986</v>
      </c>
    </row>
    <row r="219" spans="20:523" x14ac:dyDescent="0.35">
      <c r="T219" s="241"/>
      <c r="U219" s="241"/>
      <c r="V219" s="895"/>
      <c r="W219" s="895"/>
      <c r="X219" s="895"/>
      <c r="Y219" s="895"/>
      <c r="Z219" s="895"/>
      <c r="AA219" s="341"/>
      <c r="AB219" s="341"/>
      <c r="AC219" s="341"/>
      <c r="AD219" s="341"/>
      <c r="AE219" s="341"/>
      <c r="AF219" s="341"/>
      <c r="OZ219"/>
      <c r="PA219"/>
      <c r="PB219"/>
      <c r="PC219"/>
      <c r="PD219"/>
      <c r="PE219"/>
      <c r="PF219"/>
      <c r="PG219"/>
      <c r="PH219"/>
      <c r="PI219"/>
      <c r="PJ219"/>
      <c r="PK219"/>
      <c r="PL219"/>
      <c r="PM219"/>
      <c r="PN219"/>
      <c r="PO219"/>
      <c r="PP219"/>
      <c r="SZ219" s="561"/>
      <c r="TA219" s="561"/>
      <c r="TB219" s="561"/>
      <c r="TC219" s="561"/>
    </row>
    <row r="220" spans="20:523" x14ac:dyDescent="0.35">
      <c r="T220" s="241"/>
      <c r="U220" s="241"/>
      <c r="V220" s="895"/>
      <c r="W220" s="895"/>
      <c r="X220" s="895"/>
      <c r="Y220" s="895"/>
      <c r="Z220" s="895"/>
      <c r="AA220" s="341"/>
      <c r="AB220" s="341"/>
      <c r="AC220" s="341"/>
      <c r="AD220" s="341"/>
      <c r="AE220" s="341"/>
      <c r="AF220" s="341"/>
      <c r="OZ220"/>
      <c r="PA220"/>
      <c r="PB220"/>
      <c r="PC220"/>
      <c r="PD220"/>
      <c r="PE220"/>
      <c r="PF220"/>
      <c r="PG220"/>
      <c r="PH220"/>
      <c r="PI220"/>
      <c r="PJ220"/>
      <c r="PK220"/>
      <c r="PL220"/>
      <c r="PM220"/>
      <c r="PN220"/>
      <c r="PO220"/>
      <c r="PP220"/>
      <c r="SZ220" s="555"/>
      <c r="TA220" s="555"/>
      <c r="TB220" s="555">
        <f t="shared" ref="TB220:TC220" si="287">TB24-TB122</f>
        <v>1652861.5493199578</v>
      </c>
      <c r="TC220" s="555">
        <f t="shared" si="287"/>
        <v>6943797.2997090565</v>
      </c>
    </row>
    <row r="221" spans="20:523" x14ac:dyDescent="0.35">
      <c r="T221" s="241"/>
      <c r="U221" s="241"/>
      <c r="V221" s="895"/>
      <c r="W221" s="895"/>
      <c r="X221" s="895"/>
      <c r="Y221" s="895"/>
      <c r="Z221" s="895"/>
      <c r="AA221" s="341"/>
      <c r="AB221" s="341"/>
      <c r="AC221" s="341"/>
      <c r="AD221" s="341"/>
      <c r="AE221" s="341"/>
      <c r="AF221" s="341"/>
      <c r="OZ221"/>
      <c r="PA221"/>
      <c r="PB221"/>
      <c r="PC221"/>
      <c r="PD221"/>
      <c r="PE221"/>
      <c r="PF221"/>
      <c r="PG221"/>
      <c r="PH221"/>
      <c r="PI221"/>
      <c r="PJ221"/>
      <c r="PK221"/>
      <c r="PL221"/>
      <c r="PM221"/>
      <c r="PN221"/>
      <c r="PO221"/>
      <c r="PP221"/>
      <c r="SZ221" s="560"/>
      <c r="TA221" s="560"/>
      <c r="TB221" s="560"/>
      <c r="TC221" s="560"/>
    </row>
    <row r="222" spans="20:523" ht="15" thickBot="1" x14ac:dyDescent="0.4">
      <c r="T222" s="241"/>
      <c r="U222" s="241"/>
      <c r="V222" s="895"/>
      <c r="W222" s="895"/>
      <c r="X222" s="895"/>
      <c r="Y222" s="895"/>
      <c r="Z222" s="895"/>
      <c r="AA222" s="341"/>
      <c r="AB222" s="341"/>
      <c r="AC222" s="341"/>
      <c r="AD222" s="341"/>
      <c r="AE222" s="341"/>
      <c r="AF222" s="341"/>
      <c r="OZ222"/>
      <c r="PA222"/>
      <c r="PB222"/>
      <c r="PC222"/>
      <c r="PD222"/>
      <c r="PE222"/>
      <c r="PF222"/>
      <c r="PG222"/>
      <c r="PH222"/>
      <c r="PI222"/>
      <c r="PJ222"/>
      <c r="PK222"/>
      <c r="PL222"/>
      <c r="PM222"/>
      <c r="PN222"/>
      <c r="PO222"/>
      <c r="PP222"/>
      <c r="SZ222" s="559"/>
      <c r="TA222" s="559"/>
      <c r="TB222" s="559">
        <f t="shared" ref="TB222:TC222" si="288">TB26-TB124</f>
        <v>6217907.7331560329</v>
      </c>
      <c r="TC222" s="559">
        <f t="shared" si="288"/>
        <v>26121904.127476931</v>
      </c>
    </row>
    <row r="223" spans="20:523" ht="15" thickTop="1" x14ac:dyDescent="0.35">
      <c r="T223" s="241"/>
      <c r="U223" s="241"/>
      <c r="V223" s="895"/>
      <c r="W223" s="895"/>
      <c r="X223" s="895"/>
      <c r="Y223" s="895"/>
      <c r="Z223" s="895"/>
      <c r="AA223" s="341"/>
      <c r="AB223" s="341"/>
      <c r="AC223" s="341"/>
      <c r="AD223" s="341"/>
      <c r="AE223" s="341"/>
      <c r="AF223" s="341"/>
      <c r="OZ223"/>
      <c r="PA223"/>
      <c r="PB223"/>
      <c r="PC223"/>
      <c r="PD223"/>
      <c r="PE223"/>
      <c r="PF223"/>
      <c r="PG223"/>
      <c r="PH223"/>
      <c r="PI223"/>
      <c r="PJ223"/>
      <c r="PK223"/>
      <c r="PL223"/>
      <c r="PM223"/>
      <c r="PN223"/>
      <c r="PO223"/>
      <c r="PP223"/>
      <c r="SZ223" s="558"/>
      <c r="TA223" s="558"/>
      <c r="TB223" s="558"/>
      <c r="TC223" s="558"/>
    </row>
    <row r="224" spans="20:523" x14ac:dyDescent="0.35">
      <c r="T224" s="241"/>
      <c r="U224" s="241"/>
      <c r="V224" s="895"/>
      <c r="W224" s="895"/>
      <c r="X224" s="895"/>
      <c r="Y224" s="895"/>
      <c r="Z224" s="895"/>
      <c r="AA224" s="341"/>
      <c r="AB224" s="341"/>
      <c r="AC224" s="341"/>
      <c r="AD224" s="341"/>
      <c r="AE224" s="341"/>
      <c r="AF224" s="341"/>
      <c r="OZ224"/>
      <c r="PA224"/>
      <c r="PB224"/>
      <c r="PC224"/>
      <c r="PD224"/>
      <c r="PE224"/>
      <c r="PF224"/>
      <c r="PG224"/>
      <c r="PH224"/>
      <c r="PI224"/>
      <c r="PJ224"/>
      <c r="PK224"/>
      <c r="PL224"/>
      <c r="PM224"/>
      <c r="PN224"/>
      <c r="PO224"/>
      <c r="PP224"/>
      <c r="SZ224" s="557"/>
      <c r="TA224" s="557"/>
      <c r="TB224" s="557">
        <f t="shared" ref="TB224:TC224" si="289">TB28-TB126</f>
        <v>-173511166.51301789</v>
      </c>
      <c r="TC224" s="557">
        <f t="shared" si="289"/>
        <v>-665059066.61902595</v>
      </c>
    </row>
    <row r="225" spans="20:523" x14ac:dyDescent="0.35">
      <c r="T225" s="241"/>
      <c r="U225" s="241"/>
      <c r="V225" s="895"/>
      <c r="W225" s="895"/>
      <c r="X225" s="895"/>
      <c r="Y225" s="895"/>
      <c r="Z225" s="895"/>
      <c r="AA225" s="341"/>
      <c r="AB225" s="341"/>
      <c r="AC225" s="341"/>
      <c r="AD225" s="341"/>
      <c r="AE225" s="341"/>
      <c r="AF225" s="341"/>
      <c r="OZ225"/>
      <c r="PA225"/>
      <c r="PB225"/>
      <c r="PC225"/>
      <c r="PD225"/>
      <c r="PE225"/>
      <c r="PF225"/>
      <c r="PG225"/>
      <c r="PH225"/>
      <c r="PI225"/>
      <c r="PJ225"/>
      <c r="PK225"/>
      <c r="PL225"/>
      <c r="PM225"/>
      <c r="PN225"/>
      <c r="PO225"/>
      <c r="PP225"/>
      <c r="SZ225" s="556"/>
      <c r="TA225" s="556"/>
      <c r="TB225" s="556">
        <f t="shared" ref="TB225:TC225" si="290">TB29-TB127</f>
        <v>29109479.608439997</v>
      </c>
      <c r="TC225" s="556">
        <f t="shared" si="290"/>
        <v>59460001.115079999</v>
      </c>
    </row>
    <row r="226" spans="20:523" x14ac:dyDescent="0.35">
      <c r="T226" s="241"/>
      <c r="U226" s="241"/>
      <c r="V226" s="895"/>
      <c r="W226" s="895"/>
      <c r="X226" s="895"/>
      <c r="Y226" s="895"/>
      <c r="Z226" s="895"/>
      <c r="AA226" s="341"/>
      <c r="AB226" s="341"/>
      <c r="AC226" s="341"/>
      <c r="AD226" s="341"/>
      <c r="AE226" s="341"/>
      <c r="AF226" s="341"/>
      <c r="OZ226"/>
      <c r="PA226"/>
      <c r="PB226"/>
      <c r="PC226"/>
      <c r="PD226"/>
      <c r="PE226"/>
      <c r="PF226"/>
      <c r="PG226"/>
      <c r="PH226"/>
      <c r="PI226"/>
      <c r="PJ226"/>
      <c r="PK226"/>
      <c r="PL226"/>
      <c r="PM226"/>
      <c r="PN226"/>
      <c r="PO226"/>
      <c r="PP226"/>
      <c r="SZ226" s="555"/>
      <c r="TA226" s="555"/>
      <c r="TB226" s="555">
        <f t="shared" ref="TB226:TC226" si="291">TB30-TB128</f>
        <v>8926753.4646099992</v>
      </c>
      <c r="TC226" s="555">
        <f t="shared" si="291"/>
        <v>21634996.429591998</v>
      </c>
    </row>
    <row r="227" spans="20:523" ht="15" thickBot="1" x14ac:dyDescent="0.4">
      <c r="T227" s="241"/>
      <c r="U227" s="241"/>
      <c r="V227" s="895"/>
      <c r="W227" s="895"/>
      <c r="X227" s="895"/>
      <c r="Y227" s="895"/>
      <c r="Z227" s="895"/>
      <c r="AA227" s="341"/>
      <c r="AB227" s="341"/>
      <c r="AC227" s="341"/>
      <c r="AD227" s="341"/>
      <c r="AE227" s="341"/>
      <c r="AF227" s="341"/>
      <c r="OZ227"/>
      <c r="PA227"/>
      <c r="PB227"/>
      <c r="PC227"/>
      <c r="PD227"/>
      <c r="PE227"/>
      <c r="PF227"/>
      <c r="PG227"/>
      <c r="PH227"/>
      <c r="PI227"/>
      <c r="PJ227"/>
      <c r="PK227"/>
      <c r="PL227"/>
      <c r="PM227"/>
      <c r="PN227"/>
      <c r="PO227"/>
      <c r="PP227"/>
      <c r="SZ227" s="553"/>
      <c r="TA227" s="553"/>
      <c r="TB227" s="553">
        <f t="shared" ref="TB227:TC227" si="292">TB31-TB129</f>
        <v>-135474933.4399679</v>
      </c>
      <c r="TC227" s="553">
        <f t="shared" si="292"/>
        <v>-583964069.07435393</v>
      </c>
    </row>
    <row r="228" spans="20:523" ht="15" thickTop="1" x14ac:dyDescent="0.35">
      <c r="T228" s="241"/>
      <c r="U228" s="241"/>
      <c r="V228" s="895"/>
      <c r="W228" s="895"/>
      <c r="X228" s="895"/>
      <c r="Y228" s="895"/>
      <c r="Z228" s="895"/>
      <c r="AA228" s="341"/>
      <c r="AB228" s="341"/>
      <c r="AC228" s="341"/>
      <c r="AD228" s="341"/>
      <c r="AE228" s="341"/>
      <c r="AF228" s="341"/>
      <c r="OZ228"/>
      <c r="PA228"/>
      <c r="PB228"/>
      <c r="PC228"/>
      <c r="PD228"/>
      <c r="PE228"/>
      <c r="PF228"/>
      <c r="PG228"/>
      <c r="PH228"/>
      <c r="PI228"/>
      <c r="PJ228"/>
      <c r="PK228"/>
      <c r="PL228"/>
      <c r="PM228"/>
      <c r="PN228"/>
      <c r="PO228"/>
      <c r="PP228"/>
      <c r="SZ228" s="558"/>
      <c r="TA228" s="558"/>
      <c r="TB228" s="558"/>
      <c r="TC228" s="558"/>
    </row>
    <row r="229" spans="20:523" x14ac:dyDescent="0.35">
      <c r="T229" s="241"/>
      <c r="U229" s="241"/>
      <c r="V229" s="895"/>
      <c r="W229" s="895"/>
      <c r="X229" s="895"/>
      <c r="Y229" s="895"/>
      <c r="Z229" s="895"/>
      <c r="AA229" s="341"/>
      <c r="AB229" s="341"/>
      <c r="AC229" s="341"/>
      <c r="AD229" s="341"/>
      <c r="AE229" s="341"/>
      <c r="AF229" s="341"/>
      <c r="OZ229"/>
      <c r="PA229"/>
      <c r="PB229"/>
      <c r="PC229"/>
      <c r="PD229"/>
      <c r="PE229"/>
      <c r="PF229"/>
      <c r="PG229"/>
      <c r="PH229"/>
      <c r="PI229"/>
      <c r="PJ229"/>
      <c r="PK229"/>
      <c r="PL229"/>
      <c r="PM229"/>
      <c r="PN229"/>
      <c r="PO229"/>
      <c r="PP229"/>
      <c r="SZ229" s="558"/>
      <c r="TA229" s="558"/>
      <c r="TB229" s="558"/>
      <c r="TC229" s="558"/>
    </row>
    <row r="230" spans="20:523" x14ac:dyDescent="0.35">
      <c r="T230" s="241"/>
      <c r="U230" s="241"/>
      <c r="V230" s="895"/>
      <c r="W230" s="895"/>
      <c r="X230" s="895"/>
      <c r="Y230" s="895"/>
      <c r="Z230" s="895"/>
      <c r="AA230" s="341"/>
      <c r="AB230" s="341"/>
      <c r="AC230" s="341"/>
      <c r="AD230" s="341"/>
      <c r="AE230" s="341"/>
      <c r="AF230" s="341"/>
      <c r="OZ230"/>
      <c r="PA230"/>
      <c r="PB230"/>
      <c r="PC230"/>
      <c r="PD230"/>
      <c r="PE230"/>
      <c r="PF230"/>
      <c r="PG230"/>
      <c r="PH230"/>
      <c r="PI230"/>
      <c r="PJ230"/>
      <c r="PK230"/>
      <c r="PL230"/>
      <c r="PM230"/>
      <c r="PN230"/>
      <c r="PO230"/>
      <c r="PP230"/>
      <c r="SZ230" s="557"/>
      <c r="TA230" s="557"/>
      <c r="TB230" s="564">
        <f t="shared" ref="TB230:TC230" si="293">TB34-TB132</f>
        <v>-2325963.2900000233</v>
      </c>
      <c r="TC230" s="557">
        <f t="shared" si="293"/>
        <v>-11515728.170000041</v>
      </c>
    </row>
    <row r="231" spans="20:523" x14ac:dyDescent="0.35">
      <c r="T231" s="241"/>
      <c r="U231" s="241"/>
      <c r="V231" s="895"/>
      <c r="W231" s="895"/>
      <c r="X231" s="895"/>
      <c r="Y231" s="895"/>
      <c r="Z231" s="895"/>
      <c r="AA231" s="341"/>
      <c r="AB231" s="341"/>
      <c r="AC231" s="341"/>
      <c r="AD231" s="341"/>
      <c r="AE231" s="341"/>
      <c r="AF231" s="341"/>
      <c r="OZ231"/>
      <c r="PA231"/>
      <c r="PB231"/>
      <c r="PC231"/>
      <c r="PD231"/>
      <c r="PE231"/>
      <c r="PF231"/>
      <c r="PG231"/>
      <c r="PH231"/>
      <c r="PI231"/>
      <c r="PJ231"/>
      <c r="PK231"/>
      <c r="PL231"/>
      <c r="PM231"/>
      <c r="PN231"/>
      <c r="PO231"/>
      <c r="PP231"/>
      <c r="SZ231" s="556"/>
      <c r="TA231" s="556"/>
      <c r="TB231" s="563">
        <v>0</v>
      </c>
      <c r="TC231" s="556">
        <v>0</v>
      </c>
    </row>
    <row r="232" spans="20:523" x14ac:dyDescent="0.35">
      <c r="T232" s="241"/>
      <c r="U232" s="241"/>
      <c r="V232" s="895"/>
      <c r="W232" s="895"/>
      <c r="X232" s="895"/>
      <c r="Y232" s="895"/>
      <c r="Z232" s="895"/>
      <c r="AA232" s="341"/>
      <c r="AB232" s="341"/>
      <c r="AC232" s="341"/>
      <c r="AD232" s="341"/>
      <c r="AE232" s="341"/>
      <c r="AF232" s="341"/>
      <c r="OZ232"/>
      <c r="PA232"/>
      <c r="PB232"/>
      <c r="PC232"/>
      <c r="PD232"/>
      <c r="PE232"/>
      <c r="PF232"/>
      <c r="PG232"/>
      <c r="PH232"/>
      <c r="PI232"/>
      <c r="PJ232"/>
      <c r="PK232"/>
      <c r="PL232"/>
      <c r="PM232"/>
      <c r="PN232"/>
      <c r="PO232"/>
      <c r="PP232"/>
      <c r="SZ232" s="556"/>
      <c r="TA232" s="556"/>
      <c r="TB232" s="563">
        <v>0</v>
      </c>
      <c r="TC232" s="556">
        <v>0</v>
      </c>
    </row>
    <row r="233" spans="20:523" x14ac:dyDescent="0.35">
      <c r="T233" s="241"/>
      <c r="U233" s="241"/>
      <c r="V233" s="895"/>
      <c r="W233" s="895"/>
      <c r="X233" s="895"/>
      <c r="Y233" s="895"/>
      <c r="Z233" s="895"/>
      <c r="AA233" s="341"/>
      <c r="AB233" s="341"/>
      <c r="AC233" s="341"/>
      <c r="AD233" s="341"/>
      <c r="AE233" s="341"/>
      <c r="AF233" s="341"/>
      <c r="OZ233"/>
      <c r="PA233"/>
      <c r="PB233"/>
      <c r="PC233"/>
      <c r="PD233"/>
      <c r="PE233"/>
      <c r="PF233"/>
      <c r="PG233"/>
      <c r="PH233"/>
      <c r="PI233"/>
      <c r="PJ233"/>
      <c r="PK233"/>
      <c r="PL233"/>
      <c r="PM233"/>
      <c r="PN233"/>
      <c r="PO233"/>
      <c r="PP233"/>
      <c r="SZ233" s="555"/>
      <c r="TA233" s="555"/>
      <c r="TB233" s="562">
        <v>0</v>
      </c>
      <c r="TC233" s="555">
        <v>0</v>
      </c>
    </row>
    <row r="234" spans="20:523" x14ac:dyDescent="0.35">
      <c r="T234" s="241"/>
      <c r="U234" s="241"/>
      <c r="V234" s="895"/>
      <c r="W234" s="895"/>
      <c r="X234" s="895"/>
      <c r="Y234" s="895"/>
      <c r="Z234" s="895"/>
      <c r="AA234" s="341"/>
      <c r="AB234" s="341"/>
      <c r="AC234" s="341"/>
      <c r="AD234" s="341"/>
      <c r="AE234" s="341"/>
      <c r="AF234" s="341"/>
      <c r="OZ234"/>
      <c r="PA234"/>
      <c r="PB234"/>
      <c r="PC234"/>
      <c r="PD234"/>
      <c r="PE234"/>
      <c r="PF234"/>
      <c r="PG234"/>
      <c r="PH234"/>
      <c r="PI234"/>
      <c r="PJ234"/>
      <c r="PK234"/>
      <c r="PL234"/>
      <c r="PM234"/>
      <c r="PN234"/>
      <c r="PO234"/>
      <c r="PP234"/>
      <c r="SZ234" s="556"/>
      <c r="TA234" s="556"/>
      <c r="TB234" s="556">
        <f t="shared" ref="TB234:TC234" si="294">TB38-TB136</f>
        <v>-2325963.2900000233</v>
      </c>
      <c r="TC234" s="556">
        <f t="shared" si="294"/>
        <v>-11515728.170000041</v>
      </c>
    </row>
    <row r="235" spans="20:523" x14ac:dyDescent="0.35">
      <c r="T235" s="241"/>
      <c r="U235" s="241"/>
      <c r="V235" s="895"/>
      <c r="W235" s="895"/>
      <c r="X235" s="895"/>
      <c r="Y235" s="895"/>
      <c r="Z235" s="895"/>
      <c r="AA235" s="341"/>
      <c r="AB235" s="341"/>
      <c r="AC235" s="341"/>
      <c r="AD235" s="341"/>
      <c r="AE235" s="341"/>
      <c r="AF235" s="341"/>
      <c r="OZ235"/>
      <c r="PA235"/>
      <c r="PB235"/>
      <c r="PC235"/>
      <c r="PD235"/>
      <c r="PE235"/>
      <c r="PF235"/>
      <c r="PG235"/>
      <c r="PH235"/>
      <c r="PI235"/>
      <c r="PJ235"/>
      <c r="PK235"/>
      <c r="PL235"/>
      <c r="PM235"/>
      <c r="PN235"/>
      <c r="PO235"/>
      <c r="PP235"/>
      <c r="SZ235" s="556"/>
      <c r="TA235" s="556"/>
      <c r="TB235" s="556"/>
      <c r="TC235" s="556"/>
    </row>
    <row r="236" spans="20:523" x14ac:dyDescent="0.35">
      <c r="T236" s="241"/>
      <c r="U236" s="241"/>
      <c r="V236" s="895"/>
      <c r="W236" s="895"/>
      <c r="X236" s="895"/>
      <c r="Y236" s="895"/>
      <c r="Z236" s="895"/>
      <c r="AA236" s="341"/>
      <c r="AB236" s="341"/>
      <c r="AC236" s="341"/>
      <c r="AD236" s="341"/>
      <c r="AE236" s="341"/>
      <c r="AF236" s="341"/>
      <c r="OZ236"/>
      <c r="PA236"/>
      <c r="PB236"/>
      <c r="PC236"/>
      <c r="PD236"/>
      <c r="PE236"/>
      <c r="PF236"/>
      <c r="PG236"/>
      <c r="PH236"/>
      <c r="PI236"/>
      <c r="PJ236"/>
      <c r="PK236"/>
      <c r="PL236"/>
      <c r="PM236"/>
      <c r="PN236"/>
      <c r="PO236"/>
      <c r="PP236"/>
      <c r="SZ236" s="556"/>
      <c r="TA236" s="556"/>
      <c r="TB236" s="556">
        <f t="shared" ref="TB236:TC236" si="295">TB40-TB138</f>
        <v>-2325963.2900000233</v>
      </c>
      <c r="TC236" s="556">
        <f t="shared" si="295"/>
        <v>-11515728.170000041</v>
      </c>
    </row>
    <row r="237" spans="20:523" x14ac:dyDescent="0.35">
      <c r="T237" s="241"/>
      <c r="U237" s="241"/>
      <c r="V237" s="895"/>
      <c r="W237" s="895"/>
      <c r="X237" s="895"/>
      <c r="Y237" s="895"/>
      <c r="Z237" s="895"/>
      <c r="AA237" s="341"/>
      <c r="AB237" s="341"/>
      <c r="AC237" s="341"/>
      <c r="AD237" s="341"/>
      <c r="AE237" s="341"/>
      <c r="AF237" s="341"/>
      <c r="OZ237"/>
      <c r="PA237"/>
      <c r="PB237"/>
      <c r="PC237"/>
      <c r="PD237"/>
      <c r="PE237"/>
      <c r="PF237"/>
      <c r="PG237"/>
      <c r="PH237"/>
      <c r="PI237"/>
      <c r="PJ237"/>
      <c r="PK237"/>
      <c r="PL237"/>
      <c r="PM237"/>
      <c r="PN237"/>
      <c r="PO237"/>
      <c r="PP237"/>
      <c r="SZ237" s="561"/>
      <c r="TA237" s="561"/>
      <c r="TB237" s="561"/>
      <c r="TC237" s="561"/>
    </row>
    <row r="238" spans="20:523" x14ac:dyDescent="0.35">
      <c r="T238" s="241"/>
      <c r="U238" s="241"/>
      <c r="V238" s="895"/>
      <c r="W238" s="895"/>
      <c r="X238" s="895"/>
      <c r="Y238" s="895"/>
      <c r="Z238" s="895"/>
      <c r="AA238" s="341"/>
      <c r="AB238" s="341"/>
      <c r="AC238" s="341"/>
      <c r="AD238" s="341"/>
      <c r="AE238" s="341"/>
      <c r="AF238" s="341"/>
      <c r="OZ238"/>
      <c r="PA238"/>
      <c r="PB238"/>
      <c r="PC238"/>
      <c r="PD238"/>
      <c r="PE238"/>
      <c r="PF238"/>
      <c r="PG238"/>
      <c r="PH238"/>
      <c r="PI238"/>
      <c r="PJ238"/>
      <c r="PK238"/>
      <c r="PL238"/>
      <c r="PM238"/>
      <c r="PN238"/>
      <c r="PO238"/>
      <c r="PP238"/>
      <c r="SZ238" s="555"/>
      <c r="TA238" s="555"/>
      <c r="TB238" s="555">
        <f t="shared" ref="TB238:TC238" si="296">TB42-TB140</f>
        <v>488452.29090000485</v>
      </c>
      <c r="TC238" s="555">
        <f t="shared" si="296"/>
        <v>2418302.9157000086</v>
      </c>
    </row>
    <row r="239" spans="20:523" x14ac:dyDescent="0.35">
      <c r="T239" s="241"/>
      <c r="U239" s="241"/>
      <c r="V239" s="895"/>
      <c r="W239" s="895"/>
      <c r="X239" s="895"/>
      <c r="Y239" s="895"/>
      <c r="Z239" s="895"/>
      <c r="AA239" s="341"/>
      <c r="AB239" s="341"/>
      <c r="AC239" s="341"/>
      <c r="AD239" s="341"/>
      <c r="AE239" s="341"/>
      <c r="AF239" s="341"/>
      <c r="OZ239"/>
      <c r="PA239"/>
      <c r="PB239"/>
      <c r="PC239"/>
      <c r="PD239"/>
      <c r="PE239"/>
      <c r="PF239"/>
      <c r="PG239"/>
      <c r="PH239"/>
      <c r="PI239"/>
      <c r="PJ239"/>
      <c r="PK239"/>
      <c r="PL239"/>
      <c r="PM239"/>
      <c r="PN239"/>
      <c r="PO239"/>
      <c r="PP239"/>
      <c r="SZ239" s="560"/>
      <c r="TA239" s="560"/>
      <c r="TB239" s="560"/>
      <c r="TC239" s="560"/>
    </row>
    <row r="240" spans="20:523" ht="15" thickBot="1" x14ac:dyDescent="0.4">
      <c r="T240" s="241"/>
      <c r="U240" s="241"/>
      <c r="V240" s="895"/>
      <c r="W240" s="895"/>
      <c r="X240" s="895"/>
      <c r="Y240" s="895"/>
      <c r="Z240" s="895"/>
      <c r="AA240" s="341"/>
      <c r="AB240" s="341"/>
      <c r="AC240" s="341"/>
      <c r="AD240" s="341"/>
      <c r="AE240" s="341"/>
      <c r="AF240" s="341"/>
      <c r="OZ240"/>
      <c r="PA240"/>
      <c r="PB240"/>
      <c r="PC240"/>
      <c r="PD240"/>
      <c r="PE240"/>
      <c r="PF240"/>
      <c r="PG240"/>
      <c r="PH240"/>
      <c r="PI240"/>
      <c r="PJ240"/>
      <c r="PK240"/>
      <c r="PL240"/>
      <c r="PM240"/>
      <c r="PN240"/>
      <c r="PO240"/>
      <c r="PP240"/>
      <c r="SZ240" s="559"/>
      <c r="TA240" s="559"/>
      <c r="TB240" s="559">
        <f t="shared" ref="TB240:TC240" si="297">TB44-TB142</f>
        <v>1837510.9991000185</v>
      </c>
      <c r="TC240" s="559">
        <f t="shared" si="297"/>
        <v>9097425.2543000318</v>
      </c>
    </row>
    <row r="241" spans="20:523" ht="15" thickTop="1" x14ac:dyDescent="0.35">
      <c r="T241" s="241"/>
      <c r="U241" s="241"/>
      <c r="V241" s="895"/>
      <c r="W241" s="895"/>
      <c r="X241" s="895"/>
      <c r="Y241" s="895"/>
      <c r="Z241" s="895"/>
      <c r="AA241" s="341"/>
      <c r="AB241" s="341"/>
      <c r="AC241" s="341"/>
      <c r="AD241" s="341"/>
      <c r="AE241" s="341"/>
      <c r="AF241" s="341"/>
      <c r="OZ241"/>
      <c r="PA241"/>
      <c r="PB241"/>
      <c r="PC241"/>
      <c r="PD241"/>
      <c r="PE241"/>
      <c r="PF241"/>
      <c r="PG241"/>
      <c r="PH241"/>
      <c r="PI241"/>
      <c r="PJ241"/>
      <c r="PK241"/>
      <c r="PL241"/>
      <c r="PM241"/>
      <c r="PN241"/>
      <c r="PO241"/>
      <c r="PP241"/>
      <c r="SZ241" s="558"/>
      <c r="TA241" s="558"/>
      <c r="TB241" s="558"/>
      <c r="TC241" s="558"/>
    </row>
    <row r="242" spans="20:523" x14ac:dyDescent="0.35">
      <c r="T242" s="241"/>
      <c r="U242" s="241"/>
      <c r="V242" s="895"/>
      <c r="W242" s="895"/>
      <c r="X242" s="895"/>
      <c r="Y242" s="895"/>
      <c r="Z242" s="895"/>
      <c r="AA242" s="341"/>
      <c r="AB242" s="341"/>
      <c r="AC242" s="341"/>
      <c r="AD242" s="341"/>
      <c r="AE242" s="341"/>
      <c r="AF242" s="341"/>
      <c r="OZ242"/>
      <c r="PA242"/>
      <c r="PB242"/>
      <c r="PC242"/>
      <c r="PD242"/>
      <c r="PE242"/>
      <c r="PF242"/>
      <c r="PG242"/>
      <c r="PH242"/>
      <c r="PI242"/>
      <c r="PJ242"/>
      <c r="PK242"/>
      <c r="PL242"/>
      <c r="PM242"/>
      <c r="PN242"/>
      <c r="PO242"/>
      <c r="PP242"/>
      <c r="SZ242" s="557"/>
      <c r="TA242" s="557"/>
      <c r="TB242" s="557">
        <f t="shared" ref="TB242:TC242" si="298">TB46-TB144</f>
        <v>-85647742.719999969</v>
      </c>
      <c r="TC242" s="557">
        <f t="shared" si="298"/>
        <v>-408123404.95999998</v>
      </c>
    </row>
    <row r="243" spans="20:523" x14ac:dyDescent="0.35">
      <c r="T243" s="241"/>
      <c r="U243" s="241"/>
      <c r="V243" s="895"/>
      <c r="W243" s="895"/>
      <c r="X243" s="895"/>
      <c r="Y243" s="895"/>
      <c r="Z243" s="895"/>
      <c r="AA243" s="341"/>
      <c r="AB243" s="341"/>
      <c r="AC243" s="341"/>
      <c r="AD243" s="341"/>
      <c r="AE243" s="341"/>
      <c r="AF243" s="341"/>
      <c r="OZ243"/>
      <c r="PA243"/>
      <c r="PB243"/>
      <c r="PC243"/>
      <c r="PD243"/>
      <c r="PE243"/>
      <c r="PF243"/>
      <c r="PG243"/>
      <c r="PH243"/>
      <c r="PI243"/>
      <c r="PJ243"/>
      <c r="PK243"/>
      <c r="PL243"/>
      <c r="PM243"/>
      <c r="PN243"/>
      <c r="PO243"/>
      <c r="PP243"/>
      <c r="SZ243" s="556"/>
      <c r="TA243" s="556"/>
      <c r="TB243" s="556">
        <f t="shared" ref="TB243:TC243" si="299">TB47-TB145</f>
        <v>10374414.870000005</v>
      </c>
      <c r="TC243" s="556">
        <f t="shared" si="299"/>
        <v>24750370.200000007</v>
      </c>
    </row>
    <row r="244" spans="20:523" x14ac:dyDescent="0.35">
      <c r="T244" s="241"/>
      <c r="U244" s="241"/>
      <c r="V244" s="895"/>
      <c r="W244" s="895"/>
      <c r="X244" s="895"/>
      <c r="Y244" s="895"/>
      <c r="Z244" s="895"/>
      <c r="AA244" s="341"/>
      <c r="AB244" s="341"/>
      <c r="AC244" s="341"/>
      <c r="AD244" s="341"/>
      <c r="AE244" s="341"/>
      <c r="AF244" s="341"/>
      <c r="OZ244"/>
      <c r="PA244"/>
      <c r="PB244"/>
      <c r="PC244"/>
      <c r="PD244"/>
      <c r="PE244"/>
      <c r="PF244"/>
      <c r="PG244"/>
      <c r="PH244"/>
      <c r="PI244"/>
      <c r="PJ244"/>
      <c r="PK244"/>
      <c r="PL244"/>
      <c r="PM244"/>
      <c r="PN244"/>
      <c r="PO244"/>
      <c r="PP244"/>
      <c r="SZ244" s="555"/>
      <c r="TA244" s="555"/>
      <c r="TB244" s="555">
        <f t="shared" ref="TB244:TC244" si="300">TB48-TB146</f>
        <v>2966768.1999999993</v>
      </c>
      <c r="TC244" s="555">
        <f t="shared" si="300"/>
        <v>7911032.129999999</v>
      </c>
    </row>
    <row r="245" spans="20:523" ht="15" thickBot="1" x14ac:dyDescent="0.4">
      <c r="T245" s="241"/>
      <c r="U245" s="241"/>
      <c r="V245" s="895"/>
      <c r="W245" s="895"/>
      <c r="X245" s="895"/>
      <c r="Y245" s="895"/>
      <c r="Z245" s="895"/>
      <c r="AA245" s="341"/>
      <c r="AB245" s="341"/>
      <c r="AC245" s="341"/>
      <c r="AD245" s="341"/>
      <c r="AE245" s="341"/>
      <c r="AF245" s="341"/>
      <c r="OZ245"/>
      <c r="PA245"/>
      <c r="PB245"/>
      <c r="PC245"/>
      <c r="PD245"/>
      <c r="PE245"/>
      <c r="PF245"/>
      <c r="PG245"/>
      <c r="PH245"/>
      <c r="PI245"/>
      <c r="PJ245"/>
      <c r="PK245"/>
      <c r="PL245"/>
      <c r="PM245"/>
      <c r="PN245"/>
      <c r="PO245"/>
      <c r="PP245"/>
      <c r="SZ245" s="553"/>
      <c r="TA245" s="553"/>
      <c r="TB245" s="553">
        <f t="shared" ref="TB245:TC245" si="301">TB49-TB147</f>
        <v>-72306559.649999961</v>
      </c>
      <c r="TC245" s="553">
        <f t="shared" si="301"/>
        <v>-375462002.63</v>
      </c>
    </row>
    <row r="246" spans="20:523" ht="15" thickTop="1" x14ac:dyDescent="0.35">
      <c r="T246" s="241"/>
      <c r="U246" s="241"/>
      <c r="V246" s="895"/>
      <c r="W246" s="895"/>
      <c r="X246" s="895"/>
      <c r="Y246" s="895"/>
      <c r="Z246" s="895"/>
      <c r="AA246" s="341"/>
      <c r="AB246" s="341"/>
      <c r="AC246" s="341"/>
      <c r="AD246" s="341"/>
      <c r="AE246" s="341"/>
      <c r="AF246" s="341"/>
      <c r="OZ246"/>
      <c r="PA246"/>
      <c r="PB246"/>
      <c r="PC246"/>
      <c r="PD246"/>
      <c r="PE246"/>
      <c r="PF246"/>
      <c r="PG246"/>
      <c r="PH246"/>
      <c r="PI246"/>
      <c r="PJ246"/>
      <c r="PK246"/>
      <c r="PL246"/>
      <c r="PM246"/>
      <c r="PN246"/>
      <c r="PO246"/>
      <c r="PP246"/>
      <c r="SZ246" s="558"/>
      <c r="TA246" s="558"/>
      <c r="TB246" s="558"/>
      <c r="TC246" s="558"/>
    </row>
    <row r="247" spans="20:523" x14ac:dyDescent="0.35">
      <c r="T247" s="241"/>
      <c r="U247" s="241"/>
      <c r="V247" s="895"/>
      <c r="W247" s="895"/>
      <c r="X247" s="895"/>
      <c r="Y247" s="895"/>
      <c r="Z247" s="895"/>
      <c r="AA247" s="341"/>
      <c r="AB247" s="341"/>
      <c r="AC247" s="341"/>
      <c r="AD247" s="341"/>
      <c r="AE247" s="341"/>
      <c r="AF247" s="341"/>
      <c r="OZ247"/>
      <c r="PA247"/>
      <c r="PB247"/>
      <c r="PC247"/>
      <c r="PD247"/>
      <c r="PE247"/>
      <c r="PF247"/>
      <c r="PG247"/>
      <c r="PH247"/>
      <c r="PI247"/>
      <c r="PJ247"/>
      <c r="PK247"/>
      <c r="PL247"/>
      <c r="PM247"/>
      <c r="PN247"/>
      <c r="PO247"/>
      <c r="PP247"/>
      <c r="SZ247" s="558"/>
      <c r="TA247" s="558"/>
      <c r="TB247" s="558"/>
      <c r="TC247" s="558"/>
    </row>
    <row r="248" spans="20:523" x14ac:dyDescent="0.35">
      <c r="T248" s="241"/>
      <c r="U248" s="241"/>
      <c r="V248" s="895"/>
      <c r="W248" s="895"/>
      <c r="X248" s="895"/>
      <c r="Y248" s="895"/>
      <c r="Z248" s="895"/>
      <c r="AA248" s="341"/>
      <c r="AB248" s="341"/>
      <c r="AC248" s="341"/>
      <c r="AD248" s="341"/>
      <c r="AE248" s="341"/>
      <c r="AF248" s="341"/>
      <c r="OZ248"/>
      <c r="PA248"/>
      <c r="PB248"/>
      <c r="PC248"/>
      <c r="PD248"/>
      <c r="PE248"/>
      <c r="PF248"/>
      <c r="PG248"/>
      <c r="PH248"/>
      <c r="PI248"/>
      <c r="PJ248"/>
      <c r="PK248"/>
      <c r="PL248"/>
      <c r="PM248"/>
      <c r="PN248"/>
      <c r="PO248"/>
      <c r="PP248"/>
      <c r="SZ248" s="557"/>
      <c r="TA248" s="557"/>
      <c r="TB248" s="564">
        <f t="shared" ref="TB248:TC248" si="302">TB52-TB150</f>
        <v>-151151.41999999993</v>
      </c>
      <c r="TC248" s="557">
        <f t="shared" si="302"/>
        <v>-5283472.82</v>
      </c>
    </row>
    <row r="249" spans="20:523" x14ac:dyDescent="0.35">
      <c r="T249" s="241"/>
      <c r="U249" s="241"/>
      <c r="V249" s="895"/>
      <c r="W249" s="895"/>
      <c r="X249" s="895"/>
      <c r="Y249" s="895"/>
      <c r="Z249" s="895"/>
      <c r="AA249" s="341"/>
      <c r="AB249" s="341"/>
      <c r="AC249" s="341"/>
      <c r="AD249" s="341"/>
      <c r="AE249" s="341"/>
      <c r="AF249" s="341"/>
      <c r="OZ249"/>
      <c r="PA249"/>
      <c r="PB249"/>
      <c r="PC249"/>
      <c r="PD249"/>
      <c r="PE249"/>
      <c r="PF249"/>
      <c r="PG249"/>
      <c r="PH249"/>
      <c r="PI249"/>
      <c r="PJ249"/>
      <c r="PK249"/>
      <c r="PL249"/>
      <c r="PM249"/>
      <c r="PN249"/>
      <c r="PO249"/>
      <c r="PP249"/>
      <c r="SZ249" s="556"/>
      <c r="TA249" s="556"/>
      <c r="TB249" s="563">
        <f t="shared" ref="TB249:TC249" si="303">TB53-TB151</f>
        <v>-110848.988666</v>
      </c>
      <c r="TC249" s="556">
        <f t="shared" si="303"/>
        <v>-115120.156944</v>
      </c>
    </row>
    <row r="250" spans="20:523" x14ac:dyDescent="0.35">
      <c r="T250" s="241"/>
      <c r="U250" s="241"/>
      <c r="V250" s="895"/>
      <c r="W250" s="895"/>
      <c r="X250" s="895"/>
      <c r="Y250" s="895"/>
      <c r="Z250" s="895"/>
      <c r="AA250" s="341"/>
      <c r="AB250" s="341"/>
      <c r="AC250" s="341"/>
      <c r="AD250" s="341"/>
      <c r="AE250" s="341"/>
      <c r="AF250" s="341"/>
      <c r="OZ250"/>
      <c r="PA250"/>
      <c r="PB250"/>
      <c r="PC250"/>
      <c r="PD250"/>
      <c r="PE250"/>
      <c r="PF250"/>
      <c r="PG250"/>
      <c r="PH250"/>
      <c r="PI250"/>
      <c r="PJ250"/>
      <c r="PK250"/>
      <c r="PL250"/>
      <c r="PM250"/>
      <c r="PN250"/>
      <c r="PO250"/>
      <c r="PP250"/>
      <c r="SZ250" s="556"/>
      <c r="TA250" s="556"/>
      <c r="TB250" s="563">
        <v>0</v>
      </c>
      <c r="TC250" s="556">
        <v>0</v>
      </c>
    </row>
    <row r="251" spans="20:523" x14ac:dyDescent="0.35">
      <c r="T251" s="241"/>
      <c r="U251" s="241"/>
      <c r="V251" s="895"/>
      <c r="W251" s="895"/>
      <c r="X251" s="895"/>
      <c r="Y251" s="895"/>
      <c r="Z251" s="895"/>
      <c r="AA251" s="341"/>
      <c r="AB251" s="341"/>
      <c r="AC251" s="341"/>
      <c r="AD251" s="341"/>
      <c r="AE251" s="341"/>
      <c r="AF251" s="341"/>
      <c r="OZ251"/>
      <c r="PA251"/>
      <c r="PB251"/>
      <c r="PC251"/>
      <c r="PD251"/>
      <c r="PE251"/>
      <c r="PF251"/>
      <c r="PG251"/>
      <c r="PH251"/>
      <c r="PI251"/>
      <c r="PJ251"/>
      <c r="PK251"/>
      <c r="PL251"/>
      <c r="PM251"/>
      <c r="PN251"/>
      <c r="PO251"/>
      <c r="PP251"/>
      <c r="SZ251" s="555"/>
      <c r="TA251" s="555"/>
      <c r="TB251" s="562">
        <f t="shared" ref="TB251:TC251" si="304">TB55-TB153</f>
        <v>-1068637.026574</v>
      </c>
      <c r="TC251" s="555">
        <f t="shared" si="304"/>
        <v>-1267470.985716</v>
      </c>
    </row>
    <row r="252" spans="20:523" x14ac:dyDescent="0.35">
      <c r="T252" s="241"/>
      <c r="U252" s="241"/>
      <c r="V252" s="895"/>
      <c r="W252" s="895"/>
      <c r="X252" s="895"/>
      <c r="Y252" s="895"/>
      <c r="Z252" s="895"/>
      <c r="AA252" s="341"/>
      <c r="AB252" s="341"/>
      <c r="AC252" s="341"/>
      <c r="AD252" s="341"/>
      <c r="AE252" s="341"/>
      <c r="AF252" s="341"/>
      <c r="OZ252"/>
      <c r="PA252"/>
      <c r="PB252"/>
      <c r="PC252"/>
      <c r="PD252"/>
      <c r="PE252"/>
      <c r="PF252"/>
      <c r="PG252"/>
      <c r="PH252"/>
      <c r="PI252"/>
      <c r="PJ252"/>
      <c r="PK252"/>
      <c r="PL252"/>
      <c r="PM252"/>
      <c r="PN252"/>
      <c r="PO252"/>
      <c r="PP252"/>
      <c r="SZ252" s="556"/>
      <c r="TA252" s="556"/>
      <c r="TB252" s="556">
        <f t="shared" ref="TB252:TC252" si="305">TB56-TB154</f>
        <v>-1330637.43524</v>
      </c>
      <c r="TC252" s="556">
        <f t="shared" si="305"/>
        <v>-6666063.9626600007</v>
      </c>
    </row>
    <row r="253" spans="20:523" x14ac:dyDescent="0.35">
      <c r="T253" s="241"/>
      <c r="U253" s="241"/>
      <c r="V253" s="895"/>
      <c r="W253" s="895"/>
      <c r="X253" s="895"/>
      <c r="Y253" s="895"/>
      <c r="Z253" s="895"/>
      <c r="AA253" s="341"/>
      <c r="AB253" s="341"/>
      <c r="AC253" s="341"/>
      <c r="AD253" s="341"/>
      <c r="AE253" s="341"/>
      <c r="AF253" s="341"/>
      <c r="OZ253"/>
      <c r="PA253"/>
      <c r="PB253"/>
      <c r="PC253"/>
      <c r="PD253"/>
      <c r="PE253"/>
      <c r="PF253"/>
      <c r="PG253"/>
      <c r="PH253"/>
      <c r="PI253"/>
      <c r="PJ253"/>
      <c r="PK253"/>
      <c r="PL253"/>
      <c r="PM253"/>
      <c r="PN253"/>
      <c r="PO253"/>
      <c r="PP253"/>
      <c r="SZ253" s="556"/>
      <c r="TA253" s="556"/>
      <c r="TB253" s="556"/>
      <c r="TC253" s="556"/>
    </row>
    <row r="254" spans="20:523" x14ac:dyDescent="0.35">
      <c r="T254" s="241"/>
      <c r="U254" s="241"/>
      <c r="V254" s="895"/>
      <c r="W254" s="895"/>
      <c r="X254" s="895"/>
      <c r="Y254" s="895"/>
      <c r="Z254" s="895"/>
      <c r="AA254" s="341"/>
      <c r="AB254" s="341"/>
      <c r="AC254" s="341"/>
      <c r="AD254" s="341"/>
      <c r="AE254" s="341"/>
      <c r="AF254" s="341"/>
      <c r="OZ254"/>
      <c r="PA254"/>
      <c r="PB254"/>
      <c r="PC254"/>
      <c r="PD254"/>
      <c r="PE254"/>
      <c r="PF254"/>
      <c r="PG254"/>
      <c r="PH254"/>
      <c r="PI254"/>
      <c r="PJ254"/>
      <c r="PK254"/>
      <c r="PL254"/>
      <c r="PM254"/>
      <c r="PN254"/>
      <c r="PO254"/>
      <c r="PP254"/>
      <c r="SZ254" s="556"/>
      <c r="TA254" s="556"/>
      <c r="TB254" s="556">
        <f t="shared" ref="TB254:TC254" si="306">TB58-TB156</f>
        <v>-1330637.43524</v>
      </c>
      <c r="TC254" s="556">
        <f t="shared" si="306"/>
        <v>-6666063.9626600007</v>
      </c>
    </row>
    <row r="255" spans="20:523" x14ac:dyDescent="0.35">
      <c r="T255" s="241"/>
      <c r="U255" s="241"/>
      <c r="V255" s="895"/>
      <c r="W255" s="895"/>
      <c r="X255" s="895"/>
      <c r="Y255" s="895"/>
      <c r="Z255" s="895"/>
      <c r="AA255" s="341"/>
      <c r="AB255" s="341"/>
      <c r="AC255" s="341"/>
      <c r="AD255" s="341"/>
      <c r="AE255" s="341"/>
      <c r="AF255" s="341"/>
      <c r="OZ255"/>
      <c r="PA255"/>
      <c r="PB255"/>
      <c r="PC255"/>
      <c r="PD255"/>
      <c r="PE255"/>
      <c r="PF255"/>
      <c r="PG255"/>
      <c r="PH255"/>
      <c r="PI255"/>
      <c r="PJ255"/>
      <c r="PK255"/>
      <c r="PL255"/>
      <c r="PM255"/>
      <c r="PN255"/>
      <c r="PO255"/>
      <c r="PP255"/>
      <c r="SZ255" s="561"/>
      <c r="TA255" s="561"/>
      <c r="TB255" s="561"/>
      <c r="TC255" s="561"/>
    </row>
    <row r="256" spans="20:523" x14ac:dyDescent="0.35">
      <c r="T256" s="241"/>
      <c r="U256" s="241"/>
      <c r="V256" s="895"/>
      <c r="W256" s="895"/>
      <c r="X256" s="895"/>
      <c r="Y256" s="895"/>
      <c r="Z256" s="895"/>
      <c r="AA256" s="341"/>
      <c r="AB256" s="341"/>
      <c r="AC256" s="341"/>
      <c r="AD256" s="341"/>
      <c r="AE256" s="341"/>
      <c r="AF256" s="341"/>
      <c r="OZ256"/>
      <c r="PA256"/>
      <c r="PB256"/>
      <c r="PC256"/>
      <c r="PD256"/>
      <c r="PE256"/>
      <c r="PF256"/>
      <c r="PG256"/>
      <c r="PH256"/>
      <c r="PI256"/>
      <c r="PJ256"/>
      <c r="PK256"/>
      <c r="PL256"/>
      <c r="PM256"/>
      <c r="PN256"/>
      <c r="PO256"/>
      <c r="PP256"/>
      <c r="SZ256" s="555"/>
      <c r="TA256" s="555"/>
      <c r="TB256" s="555">
        <f t="shared" ref="TB256:TC256" si="307">TB60-TB158</f>
        <v>279433.8614004</v>
      </c>
      <c r="TC256" s="555">
        <f t="shared" si="307"/>
        <v>1399873.4321586001</v>
      </c>
    </row>
    <row r="257" spans="20:523" x14ac:dyDescent="0.35">
      <c r="T257" s="241"/>
      <c r="U257" s="241"/>
      <c r="V257" s="895"/>
      <c r="W257" s="895"/>
      <c r="X257" s="895"/>
      <c r="Y257" s="895"/>
      <c r="Z257" s="895"/>
      <c r="AA257" s="341"/>
      <c r="AB257" s="341"/>
      <c r="AC257" s="341"/>
      <c r="AD257" s="341"/>
      <c r="AE257" s="341"/>
      <c r="AF257" s="341"/>
      <c r="OZ257"/>
      <c r="PA257"/>
      <c r="PB257"/>
      <c r="PC257"/>
      <c r="PD257"/>
      <c r="PE257"/>
      <c r="PF257"/>
      <c r="PG257"/>
      <c r="PH257"/>
      <c r="PI257"/>
      <c r="PJ257"/>
      <c r="PK257"/>
      <c r="PL257"/>
      <c r="PM257"/>
      <c r="PN257"/>
      <c r="PO257"/>
      <c r="PP257"/>
      <c r="SZ257" s="560"/>
      <c r="TA257" s="560"/>
      <c r="TB257" s="560"/>
      <c r="TC257" s="560"/>
    </row>
    <row r="258" spans="20:523" ht="15" thickBot="1" x14ac:dyDescent="0.4">
      <c r="T258" s="241"/>
      <c r="U258" s="241"/>
      <c r="V258" s="895"/>
      <c r="W258" s="895"/>
      <c r="X258" s="895"/>
      <c r="Y258" s="895"/>
      <c r="Z258" s="895"/>
      <c r="AA258" s="341"/>
      <c r="AB258" s="341"/>
      <c r="AC258" s="341"/>
      <c r="AD258" s="341"/>
      <c r="AE258" s="341"/>
      <c r="AF258" s="341"/>
      <c r="OZ258"/>
      <c r="PA258"/>
      <c r="PB258"/>
      <c r="PC258"/>
      <c r="PD258"/>
      <c r="PE258"/>
      <c r="PF258"/>
      <c r="PG258"/>
      <c r="PH258"/>
      <c r="PI258"/>
      <c r="PJ258"/>
      <c r="PK258"/>
      <c r="PL258"/>
      <c r="PM258"/>
      <c r="PN258"/>
      <c r="PO258"/>
      <c r="PP258"/>
      <c r="SZ258" s="559"/>
      <c r="TA258" s="559"/>
      <c r="TB258" s="559">
        <f t="shared" ref="TB258:TC258" si="308">TB62-TB160</f>
        <v>1051203.5738396</v>
      </c>
      <c r="TC258" s="559">
        <f t="shared" si="308"/>
        <v>5266190.5305014011</v>
      </c>
    </row>
    <row r="259" spans="20:523" ht="15" thickTop="1" x14ac:dyDescent="0.35">
      <c r="T259" s="241"/>
      <c r="U259" s="241"/>
      <c r="V259" s="895"/>
      <c r="W259" s="895"/>
      <c r="X259" s="895"/>
      <c r="Y259" s="895"/>
      <c r="Z259" s="895"/>
      <c r="AA259" s="341"/>
      <c r="AB259" s="341"/>
      <c r="AC259" s="341"/>
      <c r="AD259" s="341"/>
      <c r="AE259" s="341"/>
      <c r="AF259" s="341"/>
      <c r="OZ259"/>
      <c r="PA259"/>
      <c r="PB259"/>
      <c r="PC259"/>
      <c r="PD259"/>
      <c r="PE259"/>
      <c r="PF259"/>
      <c r="PG259"/>
      <c r="PH259"/>
      <c r="PI259"/>
      <c r="PJ259"/>
      <c r="PK259"/>
      <c r="PL259"/>
      <c r="PM259"/>
      <c r="PN259"/>
      <c r="PO259"/>
      <c r="PP259"/>
      <c r="SZ259" s="558"/>
      <c r="TA259" s="558"/>
      <c r="TB259" s="558"/>
      <c r="TC259" s="558"/>
    </row>
    <row r="260" spans="20:523" x14ac:dyDescent="0.35">
      <c r="T260" s="241"/>
      <c r="U260" s="241"/>
      <c r="V260" s="895"/>
      <c r="W260" s="895"/>
      <c r="X260" s="895"/>
      <c r="Y260" s="895"/>
      <c r="Z260" s="895"/>
      <c r="AA260" s="341"/>
      <c r="AB260" s="341"/>
      <c r="AC260" s="341"/>
      <c r="AD260" s="341"/>
      <c r="AE260" s="341"/>
      <c r="AF260" s="341"/>
      <c r="OZ260"/>
      <c r="PA260"/>
      <c r="PB260"/>
      <c r="PC260"/>
      <c r="PD260"/>
      <c r="PE260"/>
      <c r="PF260"/>
      <c r="PG260"/>
      <c r="PH260"/>
      <c r="PI260"/>
      <c r="PJ260"/>
      <c r="PK260"/>
      <c r="PL260"/>
      <c r="PM260"/>
      <c r="PN260"/>
      <c r="PO260"/>
      <c r="PP260"/>
      <c r="SZ260" s="557"/>
      <c r="TA260" s="557"/>
      <c r="TB260" s="557">
        <f t="shared" ref="TB260:TC260" si="309">TB64-TB162</f>
        <v>-17586544.043998033</v>
      </c>
      <c r="TC260" s="557">
        <f t="shared" si="309"/>
        <v>-260314630.7942</v>
      </c>
    </row>
    <row r="261" spans="20:523" x14ac:dyDescent="0.35">
      <c r="T261" s="241"/>
      <c r="U261" s="241"/>
      <c r="V261" s="895"/>
      <c r="W261" s="895"/>
      <c r="X261" s="895"/>
      <c r="Y261" s="895"/>
      <c r="Z261" s="895"/>
      <c r="AA261" s="341"/>
      <c r="AB261" s="341"/>
      <c r="AC261" s="341"/>
      <c r="AD261" s="341"/>
      <c r="AE261" s="341"/>
      <c r="AF261" s="341"/>
      <c r="OZ261"/>
      <c r="PA261"/>
      <c r="PB261"/>
      <c r="PC261"/>
      <c r="PD261"/>
      <c r="PE261"/>
      <c r="PF261"/>
      <c r="PG261"/>
      <c r="PH261"/>
      <c r="PI261"/>
      <c r="PJ261"/>
      <c r="PK261"/>
      <c r="PL261"/>
      <c r="PM261"/>
      <c r="PN261"/>
      <c r="PO261"/>
      <c r="PP261"/>
      <c r="SZ261" s="556"/>
      <c r="TA261" s="556"/>
      <c r="TB261" s="556">
        <f t="shared" ref="TB261:TC261" si="310">TB65-TB163</f>
        <v>5940519.9441640023</v>
      </c>
      <c r="TC261" s="556">
        <f t="shared" si="310"/>
        <v>19518505.906612001</v>
      </c>
    </row>
    <row r="262" spans="20:523" x14ac:dyDescent="0.35">
      <c r="T262" s="241"/>
      <c r="U262" s="241"/>
      <c r="V262" s="895"/>
      <c r="W262" s="895"/>
      <c r="X262" s="895"/>
      <c r="Y262" s="895"/>
      <c r="Z262" s="895"/>
      <c r="AA262" s="341"/>
      <c r="AB262" s="341"/>
      <c r="AC262" s="341"/>
      <c r="AD262" s="341"/>
      <c r="AE262" s="341"/>
      <c r="AF262" s="341"/>
      <c r="OZ262"/>
      <c r="PA262"/>
      <c r="PB262"/>
      <c r="PC262"/>
      <c r="PD262"/>
      <c r="PE262"/>
      <c r="PF262"/>
      <c r="PG262"/>
      <c r="PH262"/>
      <c r="PI262"/>
      <c r="PJ262"/>
      <c r="PK262"/>
      <c r="PL262"/>
      <c r="PM262"/>
      <c r="PN262"/>
      <c r="PO262"/>
      <c r="PP262"/>
      <c r="SZ262" s="555"/>
      <c r="TA262" s="555"/>
      <c r="TB262" s="555">
        <f t="shared" ref="TB262:TC262" si="311">TB66-TB164</f>
        <v>526164.26697800006</v>
      </c>
      <c r="TC262" s="555">
        <f t="shared" si="311"/>
        <v>304664.20316800004</v>
      </c>
    </row>
    <row r="263" spans="20:523" ht="15" thickBot="1" x14ac:dyDescent="0.4">
      <c r="T263" s="241"/>
      <c r="U263" s="241"/>
      <c r="V263" s="895"/>
      <c r="W263" s="895"/>
      <c r="X263" s="895"/>
      <c r="Y263" s="895"/>
      <c r="Z263" s="895"/>
      <c r="AA263" s="341"/>
      <c r="AB263" s="341"/>
      <c r="AC263" s="341"/>
      <c r="AD263" s="341"/>
      <c r="AE263" s="341"/>
      <c r="AF263" s="341"/>
      <c r="OZ263"/>
      <c r="PA263"/>
      <c r="PB263"/>
      <c r="PC263"/>
      <c r="PD263"/>
      <c r="PE263"/>
      <c r="PF263"/>
      <c r="PG263"/>
      <c r="PH263"/>
      <c r="PI263"/>
      <c r="PJ263"/>
      <c r="PK263"/>
      <c r="PL263"/>
      <c r="PM263"/>
      <c r="PN263"/>
      <c r="PO263"/>
      <c r="PP263"/>
      <c r="SZ263" s="553"/>
      <c r="TA263" s="553"/>
      <c r="TB263" s="553">
        <f t="shared" ref="TB263:TC263" si="312">TB67-TB165</f>
        <v>-11119859.832856031</v>
      </c>
      <c r="TC263" s="553">
        <f t="shared" si="312"/>
        <v>-240491460.68441999</v>
      </c>
    </row>
    <row r="264" spans="20:523" ht="15" thickTop="1" x14ac:dyDescent="0.35">
      <c r="T264" s="241"/>
      <c r="U264" s="241"/>
      <c r="V264" s="895"/>
      <c r="W264" s="895"/>
      <c r="X264" s="895"/>
      <c r="Y264" s="895"/>
      <c r="Z264" s="895"/>
      <c r="AA264" s="341"/>
      <c r="AB264" s="341"/>
      <c r="AC264" s="341"/>
      <c r="AD264" s="341"/>
      <c r="AE264" s="341"/>
      <c r="AF264" s="341"/>
      <c r="OZ264"/>
      <c r="PA264"/>
      <c r="PB264"/>
      <c r="PC264"/>
      <c r="PD264"/>
      <c r="PE264"/>
      <c r="PF264"/>
      <c r="PG264"/>
      <c r="PH264"/>
      <c r="PI264"/>
      <c r="PJ264"/>
      <c r="PK264"/>
      <c r="PL264"/>
      <c r="PM264"/>
      <c r="PN264"/>
      <c r="PO264"/>
      <c r="PP264"/>
      <c r="SZ264" s="558"/>
      <c r="TA264" s="558"/>
      <c r="TB264" s="558"/>
      <c r="TC264" s="558"/>
    </row>
    <row r="265" spans="20:523" x14ac:dyDescent="0.35">
      <c r="T265" s="241"/>
      <c r="U265" s="241"/>
      <c r="V265" s="895"/>
      <c r="W265" s="895"/>
      <c r="X265" s="895"/>
      <c r="Y265" s="895"/>
      <c r="Z265" s="895"/>
      <c r="AA265" s="341"/>
      <c r="AB265" s="341"/>
      <c r="AC265" s="341"/>
      <c r="AD265" s="341"/>
      <c r="AE265" s="341"/>
      <c r="AF265" s="341"/>
      <c r="OZ265"/>
      <c r="PA265"/>
      <c r="PB265"/>
      <c r="PC265"/>
      <c r="PD265"/>
      <c r="PE265"/>
      <c r="PF265"/>
      <c r="PG265"/>
      <c r="PH265"/>
      <c r="PI265"/>
      <c r="PJ265"/>
      <c r="PK265"/>
      <c r="PL265"/>
      <c r="PM265"/>
      <c r="PN265"/>
      <c r="PO265"/>
      <c r="PP265"/>
      <c r="SZ265" s="558"/>
      <c r="TA265" s="558"/>
      <c r="TB265" s="558"/>
      <c r="TC265" s="558"/>
    </row>
    <row r="266" spans="20:523" x14ac:dyDescent="0.35">
      <c r="T266" s="241"/>
      <c r="U266" s="241"/>
      <c r="V266" s="895"/>
      <c r="W266" s="895"/>
      <c r="X266" s="895"/>
      <c r="Y266" s="895"/>
      <c r="Z266" s="895"/>
      <c r="AA266" s="341"/>
      <c r="AB266" s="341"/>
      <c r="AC266" s="341"/>
      <c r="AD266" s="341"/>
      <c r="AE266" s="341"/>
      <c r="AF266" s="341"/>
      <c r="OZ266"/>
      <c r="PA266"/>
      <c r="PB266"/>
      <c r="PC266"/>
      <c r="PD266"/>
      <c r="PE266"/>
      <c r="PF266"/>
      <c r="PG266"/>
      <c r="PH266"/>
      <c r="PI266"/>
      <c r="PJ266"/>
      <c r="PK266"/>
      <c r="PL266"/>
      <c r="PM266"/>
      <c r="PN266"/>
      <c r="PO266"/>
      <c r="PP266"/>
      <c r="SZ266" s="557"/>
      <c r="TA266" s="557"/>
      <c r="TB266" s="564">
        <f t="shared" ref="TB266:TC266" si="313">TB70-TB168</f>
        <v>-486242.2899999998</v>
      </c>
      <c r="TC266" s="557">
        <f t="shared" si="313"/>
        <v>-2109121.8899999997</v>
      </c>
    </row>
    <row r="267" spans="20:523" x14ac:dyDescent="0.35">
      <c r="T267" s="241"/>
      <c r="U267" s="241"/>
      <c r="V267" s="895"/>
      <c r="W267" s="895"/>
      <c r="X267" s="895"/>
      <c r="Y267" s="895"/>
      <c r="Z267" s="895"/>
      <c r="AA267" s="341"/>
      <c r="AB267" s="341"/>
      <c r="AC267" s="341"/>
      <c r="AD267" s="341"/>
      <c r="AE267" s="341"/>
      <c r="AF267" s="341"/>
      <c r="OZ267"/>
      <c r="PA267"/>
      <c r="PB267"/>
      <c r="PC267"/>
      <c r="PD267"/>
      <c r="PE267"/>
      <c r="PF267"/>
      <c r="PG267"/>
      <c r="PH267"/>
      <c r="PI267"/>
      <c r="PJ267"/>
      <c r="PK267"/>
      <c r="PL267"/>
      <c r="PM267"/>
      <c r="PN267"/>
      <c r="PO267"/>
      <c r="PP267"/>
      <c r="SZ267" s="556"/>
      <c r="TA267" s="556"/>
      <c r="TB267" s="563">
        <f t="shared" ref="TB267:TC267" si="314">TB71-TB169</f>
        <v>-377337.46341199998</v>
      </c>
      <c r="TC267" s="556">
        <f t="shared" si="314"/>
        <v>-1191187.2124360001</v>
      </c>
    </row>
    <row r="268" spans="20:523" x14ac:dyDescent="0.35">
      <c r="T268" s="241"/>
      <c r="U268" s="241"/>
      <c r="V268" s="895"/>
      <c r="W268" s="895"/>
      <c r="X268" s="895"/>
      <c r="Y268" s="895"/>
      <c r="Z268" s="895"/>
      <c r="AA268" s="341"/>
      <c r="AB268" s="341"/>
      <c r="AC268" s="341"/>
      <c r="AD268" s="341"/>
      <c r="AE268" s="341"/>
      <c r="AF268" s="341"/>
      <c r="OZ268"/>
      <c r="PA268"/>
      <c r="PB268"/>
      <c r="PC268"/>
      <c r="PD268"/>
      <c r="PE268"/>
      <c r="PF268"/>
      <c r="PG268"/>
      <c r="PH268"/>
      <c r="PI268"/>
      <c r="PJ268"/>
      <c r="PK268"/>
      <c r="PL268"/>
      <c r="PM268"/>
      <c r="PN268"/>
      <c r="PO268"/>
      <c r="PP268"/>
      <c r="SZ268" s="556"/>
      <c r="TA268" s="556"/>
      <c r="TB268" s="563">
        <f t="shared" ref="TB268:TC268" si="315">TB72-TB170</f>
        <v>-194265.28000000096</v>
      </c>
      <c r="TC268" s="556">
        <f t="shared" si="315"/>
        <v>-1385973.7400000009</v>
      </c>
    </row>
    <row r="269" spans="20:523" x14ac:dyDescent="0.35">
      <c r="T269" s="241"/>
      <c r="U269" s="241"/>
      <c r="V269" s="895"/>
      <c r="W269" s="895"/>
      <c r="X269" s="895"/>
      <c r="Y269" s="895"/>
      <c r="Z269" s="895"/>
      <c r="AA269" s="341"/>
      <c r="AB269" s="341"/>
      <c r="AC269" s="341"/>
      <c r="AD269" s="341"/>
      <c r="AE269" s="341"/>
      <c r="AF269" s="341"/>
      <c r="OZ269"/>
      <c r="PA269"/>
      <c r="PB269"/>
      <c r="PC269"/>
      <c r="PD269"/>
      <c r="PE269"/>
      <c r="PF269"/>
      <c r="PG269"/>
      <c r="PH269"/>
      <c r="PI269"/>
      <c r="PJ269"/>
      <c r="PK269"/>
      <c r="PL269"/>
      <c r="PM269"/>
      <c r="PN269"/>
      <c r="PO269"/>
      <c r="PP269"/>
      <c r="SZ269" s="555"/>
      <c r="TA269" s="555"/>
      <c r="TB269" s="562">
        <f t="shared" ref="TB269:TC269" si="316">TB73-TB171</f>
        <v>-2351847.6628140043</v>
      </c>
      <c r="TC269" s="555">
        <f t="shared" si="316"/>
        <v>-13696270.037294004</v>
      </c>
    </row>
    <row r="270" spans="20:523" x14ac:dyDescent="0.35">
      <c r="T270" s="241"/>
      <c r="U270" s="241"/>
      <c r="V270" s="895"/>
      <c r="W270" s="895"/>
      <c r="X270" s="895"/>
      <c r="Y270" s="895"/>
      <c r="Z270" s="895"/>
      <c r="AA270" s="341"/>
      <c r="AB270" s="341"/>
      <c r="AC270" s="341"/>
      <c r="AD270" s="341"/>
      <c r="AE270" s="341"/>
      <c r="AF270" s="341"/>
      <c r="OZ270"/>
      <c r="PA270"/>
      <c r="PB270"/>
      <c r="PC270"/>
      <c r="PD270"/>
      <c r="PE270"/>
      <c r="PF270"/>
      <c r="PG270"/>
      <c r="PH270"/>
      <c r="PI270"/>
      <c r="PJ270"/>
      <c r="PK270"/>
      <c r="PL270"/>
      <c r="PM270"/>
      <c r="PN270"/>
      <c r="PO270"/>
      <c r="PP270"/>
      <c r="SZ270" s="556"/>
      <c r="TA270" s="556"/>
      <c r="TB270" s="556">
        <f t="shared" ref="TB270:TC270" si="317">TB74-TB172</f>
        <v>-3409692.696226005</v>
      </c>
      <c r="TC270" s="556">
        <f t="shared" si="317"/>
        <v>-18382552.879730005</v>
      </c>
    </row>
    <row r="271" spans="20:523" x14ac:dyDescent="0.35">
      <c r="T271" s="241"/>
      <c r="U271" s="241"/>
      <c r="V271" s="895"/>
      <c r="W271" s="895"/>
      <c r="X271" s="895"/>
      <c r="Y271" s="895"/>
      <c r="Z271" s="895"/>
      <c r="AA271" s="341"/>
      <c r="AB271" s="341"/>
      <c r="AC271" s="341"/>
      <c r="AD271" s="341"/>
      <c r="AE271" s="341"/>
      <c r="AF271" s="341"/>
      <c r="OZ271"/>
      <c r="PA271"/>
      <c r="PB271"/>
      <c r="PC271"/>
      <c r="PD271"/>
      <c r="PE271"/>
      <c r="PF271"/>
      <c r="PG271"/>
      <c r="PH271"/>
      <c r="PI271"/>
      <c r="PJ271"/>
      <c r="PK271"/>
      <c r="PL271"/>
      <c r="PM271"/>
      <c r="PN271"/>
      <c r="PO271"/>
      <c r="PP271"/>
      <c r="SZ271" s="556"/>
      <c r="TA271" s="556"/>
      <c r="TB271" s="556"/>
      <c r="TC271" s="556"/>
    </row>
    <row r="272" spans="20:523" x14ac:dyDescent="0.35">
      <c r="OZ272"/>
      <c r="PA272"/>
      <c r="PB272"/>
      <c r="PC272"/>
      <c r="PD272"/>
      <c r="PE272"/>
      <c r="PF272"/>
      <c r="PG272"/>
      <c r="PH272"/>
      <c r="PI272"/>
      <c r="PJ272"/>
      <c r="PK272"/>
      <c r="PL272"/>
      <c r="PM272"/>
      <c r="PN272"/>
      <c r="PO272"/>
      <c r="PP272"/>
      <c r="SZ272" s="556"/>
      <c r="TA272" s="556"/>
      <c r="TB272" s="556">
        <f t="shared" ref="TB272:TC272" si="318">TB76-TB174</f>
        <v>-3409692.696226005</v>
      </c>
      <c r="TC272" s="556">
        <f t="shared" si="318"/>
        <v>-18382552.879730005</v>
      </c>
    </row>
    <row r="273" spans="416:523" x14ac:dyDescent="0.35">
      <c r="OZ273"/>
      <c r="PA273"/>
      <c r="PB273"/>
      <c r="PC273"/>
      <c r="PD273"/>
      <c r="PE273"/>
      <c r="PF273"/>
      <c r="PG273"/>
      <c r="PH273"/>
      <c r="PI273"/>
      <c r="PJ273"/>
      <c r="PK273"/>
      <c r="PL273"/>
      <c r="PM273"/>
      <c r="PN273"/>
      <c r="PO273"/>
      <c r="PP273"/>
      <c r="SZ273" s="561"/>
      <c r="TA273" s="561"/>
      <c r="TB273" s="561"/>
      <c r="TC273" s="561"/>
    </row>
    <row r="274" spans="416:523" x14ac:dyDescent="0.35">
      <c r="OZ274"/>
      <c r="PA274"/>
      <c r="PB274"/>
      <c r="PC274"/>
      <c r="PD274"/>
      <c r="PE274"/>
      <c r="PF274"/>
      <c r="PG274"/>
      <c r="PH274"/>
      <c r="PI274"/>
      <c r="PJ274"/>
      <c r="PK274"/>
      <c r="PL274"/>
      <c r="PM274"/>
      <c r="PN274"/>
      <c r="PO274"/>
      <c r="PP274"/>
      <c r="SZ274" s="555"/>
      <c r="TA274" s="555"/>
      <c r="TB274" s="555">
        <f t="shared" ref="TB274:TC274" si="319">TB78-TB176</f>
        <v>716035.46620746097</v>
      </c>
      <c r="TC274" s="555">
        <f t="shared" si="319"/>
        <v>3860336.1047433009</v>
      </c>
    </row>
    <row r="275" spans="416:523" x14ac:dyDescent="0.35">
      <c r="OZ275"/>
      <c r="PA275"/>
      <c r="PB275"/>
      <c r="PC275"/>
      <c r="PD275"/>
      <c r="PE275"/>
      <c r="PF275"/>
      <c r="PG275"/>
      <c r="PH275"/>
      <c r="PI275"/>
      <c r="PJ275"/>
      <c r="PK275"/>
      <c r="PL275"/>
      <c r="PM275"/>
      <c r="PN275"/>
      <c r="PO275"/>
      <c r="PP275"/>
      <c r="SZ275" s="560"/>
      <c r="TA275" s="560"/>
      <c r="TB275" s="560"/>
      <c r="TC275" s="560"/>
    </row>
    <row r="276" spans="416:523" ht="15" thickBot="1" x14ac:dyDescent="0.4">
      <c r="OZ276"/>
      <c r="PA276"/>
      <c r="PB276"/>
      <c r="PC276"/>
      <c r="PD276"/>
      <c r="PE276"/>
      <c r="PF276"/>
      <c r="PG276"/>
      <c r="PH276"/>
      <c r="PI276"/>
      <c r="PJ276"/>
      <c r="PK276"/>
      <c r="PL276"/>
      <c r="PM276"/>
      <c r="PN276"/>
      <c r="PO276"/>
      <c r="PP276"/>
      <c r="SZ276" s="559"/>
      <c r="TA276" s="559"/>
      <c r="TB276" s="559">
        <f t="shared" ref="TB276:TC276" si="320">TB80-TB178</f>
        <v>2693657.230018544</v>
      </c>
      <c r="TC276" s="559">
        <f t="shared" si="320"/>
        <v>14522216.774986703</v>
      </c>
    </row>
    <row r="277" spans="416:523" ht="15" thickTop="1" x14ac:dyDescent="0.35">
      <c r="OZ277"/>
      <c r="PA277"/>
      <c r="PB277"/>
      <c r="PC277"/>
      <c r="PD277"/>
      <c r="PE277"/>
      <c r="PF277"/>
      <c r="PG277"/>
      <c r="PH277"/>
      <c r="PI277"/>
      <c r="PJ277"/>
      <c r="PK277"/>
      <c r="PL277"/>
      <c r="PM277"/>
      <c r="PN277"/>
      <c r="PO277"/>
      <c r="PP277"/>
      <c r="SZ277" s="558"/>
      <c r="TA277" s="558"/>
      <c r="TB277" s="558"/>
      <c r="TC277" s="558"/>
    </row>
    <row r="278" spans="416:523" x14ac:dyDescent="0.35">
      <c r="OZ278"/>
      <c r="PA278"/>
      <c r="PB278"/>
      <c r="PC278"/>
      <c r="PD278"/>
      <c r="PE278"/>
      <c r="PF278"/>
      <c r="PG278"/>
      <c r="PH278"/>
      <c r="PI278"/>
      <c r="PJ278"/>
      <c r="PK278"/>
      <c r="PL278"/>
      <c r="PM278"/>
      <c r="PN278"/>
      <c r="PO278"/>
      <c r="PP278"/>
      <c r="SZ278" s="557"/>
      <c r="TA278" s="557"/>
      <c r="TB278" s="557">
        <f t="shared" ref="TB278:TC278" si="321">TB82-TB180</f>
        <v>-41843355.537180007</v>
      </c>
      <c r="TC278" s="557">
        <f t="shared" si="321"/>
        <v>-165839928.06287801</v>
      </c>
    </row>
    <row r="279" spans="416:523" x14ac:dyDescent="0.35">
      <c r="OZ279"/>
      <c r="PA279"/>
      <c r="PB279"/>
      <c r="PC279"/>
      <c r="PD279"/>
      <c r="PE279"/>
      <c r="PF279"/>
      <c r="PG279"/>
      <c r="PH279"/>
      <c r="PI279"/>
      <c r="PJ279"/>
      <c r="PK279"/>
      <c r="PL279"/>
      <c r="PM279"/>
      <c r="PN279"/>
      <c r="PO279"/>
      <c r="PP279"/>
      <c r="SZ279" s="556"/>
      <c r="TA279" s="556"/>
      <c r="TB279" s="556">
        <f t="shared" ref="TB279:TC279" si="322">TB83-TB181</f>
        <v>16696738.413552009</v>
      </c>
      <c r="TC279" s="556">
        <f t="shared" si="322"/>
        <v>37267733.144352004</v>
      </c>
    </row>
    <row r="280" spans="416:523" x14ac:dyDescent="0.35">
      <c r="OZ280"/>
      <c r="PA280"/>
      <c r="PB280"/>
      <c r="PC280"/>
      <c r="PD280"/>
      <c r="PE280"/>
      <c r="PF280"/>
      <c r="PG280"/>
      <c r="PH280"/>
      <c r="PI280"/>
      <c r="PJ280"/>
      <c r="PK280"/>
      <c r="PL280"/>
      <c r="PM280"/>
      <c r="PN280"/>
      <c r="PO280"/>
      <c r="PP280"/>
      <c r="SZ280" s="555"/>
      <c r="TA280" s="555"/>
      <c r="TB280" s="555">
        <f t="shared" ref="TB280:TC280" si="323">TB84-TB182</f>
        <v>2207900.3880740008</v>
      </c>
      <c r="TC280" s="555">
        <f t="shared" si="323"/>
        <v>5348143.3624300007</v>
      </c>
    </row>
    <row r="281" spans="416:523" ht="15" thickBot="1" x14ac:dyDescent="0.4">
      <c r="OZ281"/>
      <c r="PA281"/>
      <c r="PB281"/>
      <c r="PC281"/>
      <c r="PD281"/>
      <c r="PE281"/>
      <c r="PF281"/>
      <c r="PG281"/>
      <c r="PH281"/>
      <c r="PI281"/>
      <c r="PJ281"/>
      <c r="PK281"/>
      <c r="PL281"/>
      <c r="PM281"/>
      <c r="PN281"/>
      <c r="PO281"/>
      <c r="PP281"/>
      <c r="SZ281" s="553"/>
      <c r="TA281" s="553"/>
      <c r="TB281" s="553">
        <f t="shared" ref="TB281:TC281" si="324">TB85-TB183</f>
        <v>-22938716.735553999</v>
      </c>
      <c r="TC281" s="553">
        <f t="shared" si="324"/>
        <v>-123224051.556096</v>
      </c>
    </row>
    <row r="282" spans="416:523" ht="15" thickTop="1" x14ac:dyDescent="0.35">
      <c r="OZ282"/>
      <c r="PA282"/>
      <c r="PB282"/>
      <c r="PC282"/>
      <c r="PD282"/>
      <c r="PE282"/>
      <c r="PF282"/>
      <c r="PG282"/>
      <c r="PH282"/>
      <c r="PI282"/>
      <c r="PJ282"/>
      <c r="PK282"/>
      <c r="PL282"/>
      <c r="PM282"/>
      <c r="PN282"/>
      <c r="PO282"/>
      <c r="PP282"/>
      <c r="SZ282" s="558"/>
      <c r="TA282" s="558"/>
      <c r="TB282" s="558"/>
      <c r="TC282" s="558"/>
    </row>
    <row r="283" spans="416:523" x14ac:dyDescent="0.35">
      <c r="OZ283"/>
      <c r="PA283"/>
      <c r="PB283"/>
      <c r="PC283"/>
      <c r="PD283"/>
      <c r="PE283"/>
      <c r="PF283"/>
      <c r="PG283"/>
      <c r="PH283"/>
      <c r="PI283"/>
      <c r="PJ283"/>
      <c r="PK283"/>
      <c r="PL283"/>
      <c r="PM283"/>
      <c r="PN283"/>
      <c r="PO283"/>
      <c r="PP283"/>
      <c r="SZ283" s="558"/>
      <c r="TA283" s="558"/>
      <c r="TB283" s="558"/>
      <c r="TC283" s="558"/>
    </row>
    <row r="284" spans="416:523" x14ac:dyDescent="0.35">
      <c r="OZ284"/>
      <c r="PA284"/>
      <c r="PB284"/>
      <c r="PC284"/>
      <c r="PD284"/>
      <c r="PE284"/>
      <c r="PF284"/>
      <c r="PG284"/>
      <c r="PH284"/>
      <c r="PI284"/>
      <c r="PJ284"/>
      <c r="PK284"/>
      <c r="PL284"/>
      <c r="PM284"/>
      <c r="PN284"/>
      <c r="PO284"/>
      <c r="PP284"/>
      <c r="SZ284" s="557"/>
      <c r="TA284" s="557"/>
      <c r="TB284" s="564">
        <f t="shared" ref="TB284:TC284" si="325">TB88-TB186</f>
        <v>-8542731.5000000149</v>
      </c>
      <c r="TC284" s="557">
        <f t="shared" si="325"/>
        <v>-41074648.280000031</v>
      </c>
    </row>
    <row r="285" spans="416:523" x14ac:dyDescent="0.35">
      <c r="OZ285"/>
      <c r="PA285"/>
      <c r="PB285"/>
      <c r="PC285"/>
      <c r="PD285"/>
      <c r="PE285"/>
      <c r="PF285"/>
      <c r="PG285"/>
      <c r="PH285"/>
      <c r="PI285"/>
      <c r="PJ285"/>
      <c r="PK285"/>
      <c r="PL285"/>
      <c r="PM285"/>
      <c r="PN285"/>
      <c r="PO285"/>
      <c r="PP285"/>
      <c r="SZ285" s="556"/>
      <c r="TA285" s="556"/>
      <c r="TB285" s="563">
        <f t="shared" ref="TB285:TC285" si="326">TB89-TB187</f>
        <v>-488186.452078</v>
      </c>
      <c r="TC285" s="556">
        <f t="shared" si="326"/>
        <v>-3911898.3094360004</v>
      </c>
    </row>
    <row r="286" spans="416:523" x14ac:dyDescent="0.35">
      <c r="OZ286"/>
      <c r="PA286"/>
      <c r="PB286"/>
      <c r="PC286"/>
      <c r="PD286"/>
      <c r="PE286"/>
      <c r="PF286"/>
      <c r="PG286"/>
      <c r="PH286"/>
      <c r="PI286"/>
      <c r="PJ286"/>
      <c r="PK286"/>
      <c r="PL286"/>
      <c r="PM286"/>
      <c r="PN286"/>
      <c r="PO286"/>
      <c r="PP286"/>
      <c r="SZ286" s="556"/>
      <c r="TA286" s="556"/>
      <c r="TB286" s="563">
        <f t="shared" ref="TB286:TC286" si="327">TB90-TB188</f>
        <v>-197051.68000000095</v>
      </c>
      <c r="TC286" s="556">
        <f t="shared" si="327"/>
        <v>-1396014.800000001</v>
      </c>
    </row>
    <row r="287" spans="416:523" x14ac:dyDescent="0.35">
      <c r="OZ287"/>
      <c r="PA287"/>
      <c r="PB287"/>
      <c r="PC287"/>
      <c r="PD287"/>
      <c r="PE287"/>
      <c r="PF287"/>
      <c r="PG287"/>
      <c r="PH287"/>
      <c r="PI287"/>
      <c r="PJ287"/>
      <c r="PK287"/>
      <c r="PL287"/>
      <c r="PM287"/>
      <c r="PN287"/>
      <c r="PO287"/>
      <c r="PP287"/>
      <c r="SZ287" s="555"/>
      <c r="TA287" s="555"/>
      <c r="TB287" s="562">
        <f t="shared" ref="TB287:TC287" si="328">TB91-TB189</f>
        <v>-5709093.0718640033</v>
      </c>
      <c r="TC287" s="555">
        <f t="shared" si="328"/>
        <v>-23247485.050140008</v>
      </c>
    </row>
    <row r="288" spans="416:523" x14ac:dyDescent="0.35">
      <c r="OZ288"/>
      <c r="PA288"/>
      <c r="PB288"/>
      <c r="PC288"/>
      <c r="PD288"/>
      <c r="PE288"/>
      <c r="PF288"/>
      <c r="PG288"/>
      <c r="PH288"/>
      <c r="PI288"/>
      <c r="PJ288"/>
      <c r="PK288"/>
      <c r="PL288"/>
      <c r="PM288"/>
      <c r="PN288"/>
      <c r="PO288"/>
      <c r="PP288"/>
      <c r="SZ288" s="556"/>
      <c r="TA288" s="556"/>
      <c r="TB288" s="556">
        <f t="shared" ref="TB288:TC288" si="329">TB92-TB190</f>
        <v>-14937062.703942019</v>
      </c>
      <c r="TC288" s="556">
        <f t="shared" si="329"/>
        <v>-69630046.439576045</v>
      </c>
    </row>
    <row r="289" spans="520:523" x14ac:dyDescent="0.35">
      <c r="SZ289" s="556"/>
      <c r="TA289" s="556"/>
      <c r="TB289" s="556"/>
      <c r="TC289" s="556"/>
    </row>
    <row r="290" spans="520:523" x14ac:dyDescent="0.35">
      <c r="SZ290" s="556"/>
      <c r="TA290" s="556"/>
      <c r="TB290" s="556">
        <f t="shared" ref="TB290:TC290" si="330">TB94-TB192</f>
        <v>-14937062.703942019</v>
      </c>
      <c r="TC290" s="556">
        <f t="shared" si="330"/>
        <v>-69630046.439576045</v>
      </c>
    </row>
    <row r="291" spans="520:523" x14ac:dyDescent="0.35">
      <c r="SZ291" s="561"/>
      <c r="TA291" s="561"/>
      <c r="TB291" s="561"/>
      <c r="TC291" s="561"/>
    </row>
    <row r="292" spans="520:523" x14ac:dyDescent="0.35">
      <c r="SZ292" s="555"/>
      <c r="TA292" s="555"/>
      <c r="TB292" s="555">
        <f t="shared" ref="TB292:TC292" si="331">TB96-TB194</f>
        <v>3136783.1678278241</v>
      </c>
      <c r="TC292" s="555">
        <f t="shared" si="331"/>
        <v>14622309.752310969</v>
      </c>
    </row>
    <row r="293" spans="520:523" x14ac:dyDescent="0.35">
      <c r="SZ293" s="560"/>
      <c r="TA293" s="560"/>
      <c r="TB293" s="560"/>
      <c r="TC293" s="560"/>
    </row>
    <row r="294" spans="520:523" ht="15" thickBot="1" x14ac:dyDescent="0.4">
      <c r="SZ294" s="559"/>
      <c r="TA294" s="559"/>
      <c r="TB294" s="559">
        <f t="shared" ref="TB294:TC294" si="332">TB98-TB196</f>
        <v>11800279.536114195</v>
      </c>
      <c r="TC294" s="559">
        <f t="shared" si="332"/>
        <v>55007736.687265076</v>
      </c>
    </row>
    <row r="295" spans="520:523" ht="15" thickTop="1" x14ac:dyDescent="0.35">
      <c r="SZ295" s="558"/>
      <c r="TA295" s="558"/>
      <c r="TB295" s="558"/>
      <c r="TC295" s="558"/>
    </row>
    <row r="296" spans="520:523" x14ac:dyDescent="0.35">
      <c r="SZ296" s="557"/>
      <c r="TA296" s="557"/>
      <c r="TB296" s="557">
        <f t="shared" ref="TB296:TC296" si="333">TB100-TB198</f>
        <v>-318588808.81419563</v>
      </c>
      <c r="TC296" s="557">
        <f t="shared" si="333"/>
        <v>-1499337030.4361038</v>
      </c>
    </row>
    <row r="297" spans="520:523" x14ac:dyDescent="0.35">
      <c r="SZ297" s="556"/>
      <c r="TA297" s="556"/>
      <c r="TB297" s="556">
        <f t="shared" ref="TB297:TC297" si="334">TB101-TB199</f>
        <v>62121152.836156011</v>
      </c>
      <c r="TC297" s="556">
        <f t="shared" si="334"/>
        <v>140996610.36604401</v>
      </c>
    </row>
    <row r="298" spans="520:523" x14ac:dyDescent="0.35">
      <c r="SZ298" s="555"/>
      <c r="TA298" s="555"/>
      <c r="TB298" s="555">
        <f t="shared" ref="TB298:TC298" si="335">TB102-TB200</f>
        <v>14627586.319661997</v>
      </c>
      <c r="TC298" s="555">
        <f t="shared" si="335"/>
        <v>35198836.125189997</v>
      </c>
    </row>
    <row r="299" spans="520:523" ht="15" thickBot="1" x14ac:dyDescent="0.4">
      <c r="SZ299" s="553"/>
      <c r="TA299" s="553"/>
      <c r="TB299" s="553">
        <f t="shared" ref="TB299:TC299" si="336">TB103-TB201</f>
        <v>-241840069.65837762</v>
      </c>
      <c r="TC299" s="553">
        <f t="shared" si="336"/>
        <v>-1323141583.9448698</v>
      </c>
    </row>
    <row r="300" spans="520:523" ht="15" thickTop="1" x14ac:dyDescent="0.35"/>
  </sheetData>
  <conditionalFormatting sqref="V1:Z1">
    <cfRule type="cellIs" dxfId="24" priority="2" operator="notEqual">
      <formula>0</formula>
    </cfRule>
  </conditionalFormatting>
  <conditionalFormatting sqref="AQ1:AR1">
    <cfRule type="cellIs" dxfId="23" priority="1" operator="notEqual">
      <formula>0</formula>
    </cfRule>
  </conditionalFormatting>
  <printOptions horizontalCentered="1"/>
  <pageMargins left="0.2" right="0.25" top="0.25" bottom="0.25" header="0.3" footer="0.3"/>
  <pageSetup scale="10"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A182"/>
  <sheetViews>
    <sheetView showZeros="0" zoomScale="90" zoomScaleNormal="90" workbookViewId="0">
      <pane xSplit="2" ySplit="15" topLeftCell="BC16" activePane="bottomRight" state="frozen"/>
      <selection activeCell="E167" sqref="E167"/>
      <selection pane="topRight" activeCell="E167" sqref="E167"/>
      <selection pane="bottomLeft" activeCell="E167" sqref="E167"/>
      <selection pane="bottomRight" activeCell="CP20" sqref="CP20"/>
    </sheetView>
  </sheetViews>
  <sheetFormatPr defaultColWidth="9.26953125" defaultRowHeight="14.5" outlineLevelRow="1" outlineLevelCol="3" x14ac:dyDescent="0.35"/>
  <cols>
    <col min="1" max="1" width="5" style="1" hidden="1" customWidth="1" outlineLevel="1"/>
    <col min="2" max="2" width="50.453125" style="1" hidden="1" customWidth="1" outlineLevel="1"/>
    <col min="3" max="3" width="8.7265625" style="1" hidden="1" customWidth="1" outlineLevel="1"/>
    <col min="4" max="6" width="15" style="1" hidden="1" customWidth="1" outlineLevel="1"/>
    <col min="7" max="7" width="18.26953125" style="1" hidden="1" customWidth="1" outlineLevel="1"/>
    <col min="8" max="8" width="17.7265625" style="1" hidden="1" customWidth="1" outlineLevel="1"/>
    <col min="9" max="14" width="17.7265625" style="1" hidden="1" customWidth="1" outlineLevel="2"/>
    <col min="15" max="18" width="17.7265625" style="1" hidden="1" customWidth="1" outlineLevel="3"/>
    <col min="19" max="19" width="5" style="1" hidden="1" customWidth="1" outlineLevel="2"/>
    <col min="20" max="20" width="50.7265625" style="1" hidden="1" customWidth="1" outlineLevel="2"/>
    <col min="21" max="21" width="6.54296875" style="1" hidden="1" customWidth="1" outlineLevel="2"/>
    <col min="22" max="23" width="13" style="1" hidden="1" customWidth="1" outlineLevel="2"/>
    <col min="24" max="24" width="13.26953125" style="1" hidden="1" customWidth="1" outlineLevel="2"/>
    <col min="25" max="25" width="11.453125" style="1" hidden="1" customWidth="1" outlineLevel="2"/>
    <col min="26" max="32" width="12.7265625" style="1" hidden="1" customWidth="1" outlineLevel="2"/>
    <col min="33" max="36" width="12.7265625" style="1" hidden="1" customWidth="1" outlineLevel="3"/>
    <col min="37" max="37" width="5.453125" style="1" hidden="1" customWidth="1" outlineLevel="2"/>
    <col min="38" max="38" width="48.26953125" style="1" hidden="1" customWidth="1" outlineLevel="2"/>
    <col min="39" max="39" width="4.54296875" style="1" hidden="1" customWidth="1" outlineLevel="2"/>
    <col min="40" max="41" width="13.453125" style="1" hidden="1" customWidth="1" outlineLevel="2"/>
    <col min="42" max="42" width="16" style="1" hidden="1" customWidth="1" outlineLevel="2"/>
    <col min="43" max="43" width="13.453125" style="1" hidden="1" customWidth="1" outlineLevel="2"/>
    <col min="44" max="54" width="14.7265625" style="1" hidden="1" customWidth="1" outlineLevel="2"/>
    <col min="55" max="55" width="5" style="1" customWidth="1" collapsed="1"/>
    <col min="56" max="56" width="51.7265625" style="1" bestFit="1" customWidth="1"/>
    <col min="57" max="57" width="7.81640625" style="1" bestFit="1" customWidth="1"/>
    <col min="58" max="58" width="15.7265625" style="1" bestFit="1" customWidth="1"/>
    <col min="59" max="59" width="14.7265625" style="1" bestFit="1" customWidth="1"/>
    <col min="60" max="60" width="13.7265625" style="1" bestFit="1" customWidth="1"/>
    <col min="61" max="61" width="15.7265625" style="1" bestFit="1" customWidth="1"/>
    <col min="62" max="62" width="14.26953125" style="1" bestFit="1" customWidth="1"/>
    <col min="63" max="63" width="15" style="1" bestFit="1" customWidth="1"/>
    <col min="64" max="64" width="14.26953125" style="1" bestFit="1" customWidth="1"/>
    <col min="65" max="65" width="15" style="1" bestFit="1" customWidth="1"/>
    <col min="66" max="68" width="13" style="1" customWidth="1"/>
    <col min="69" max="70" width="13" style="1" hidden="1" customWidth="1" outlineLevel="1"/>
    <col min="71" max="72" width="15" style="1" hidden="1" customWidth="1" outlineLevel="1"/>
    <col min="73" max="73" width="5.7265625" customWidth="1" collapsed="1"/>
    <col min="74" max="74" width="73.7265625" customWidth="1"/>
    <col min="75" max="75" width="7.26953125" customWidth="1"/>
    <col min="76" max="76" width="15.453125" customWidth="1"/>
    <col min="77" max="77" width="14.7265625" customWidth="1"/>
    <col min="78" max="78" width="15.453125" bestFit="1" customWidth="1"/>
    <col min="79" max="79" width="17.26953125" bestFit="1" customWidth="1"/>
    <col min="80" max="80" width="15.453125" bestFit="1" customWidth="1"/>
    <col min="81" max="81" width="17.26953125" bestFit="1" customWidth="1"/>
    <col min="82" max="82" width="15.26953125" bestFit="1" customWidth="1"/>
    <col min="83" max="83" width="17.26953125" bestFit="1" customWidth="1"/>
    <col min="84" max="84" width="15.26953125" bestFit="1" customWidth="1"/>
    <col min="85" max="85" width="17.26953125" bestFit="1" customWidth="1"/>
    <col min="86" max="86" width="15.453125" bestFit="1" customWidth="1"/>
    <col min="87" max="88" width="15.453125" hidden="1" customWidth="1" outlineLevel="1"/>
    <col min="89" max="89" width="17.26953125" hidden="1" customWidth="1" outlineLevel="1"/>
    <col min="90" max="90" width="15.453125" hidden="1" customWidth="1" outlineLevel="1"/>
    <col min="91" max="91" width="5.453125" bestFit="1" customWidth="1" collapsed="1"/>
    <col min="92" max="92" width="36.54296875" bestFit="1" customWidth="1"/>
    <col min="93" max="93" width="5.7265625" customWidth="1"/>
    <col min="94" max="94" width="15" bestFit="1" customWidth="1"/>
    <col min="95" max="95" width="15.54296875" bestFit="1" customWidth="1"/>
    <col min="96" max="96" width="14.453125" bestFit="1" customWidth="1"/>
    <col min="97" max="97" width="16.54296875" customWidth="1"/>
    <col min="98" max="98" width="14.81640625" bestFit="1" customWidth="1"/>
    <col min="99" max="99" width="14.26953125" bestFit="1" customWidth="1"/>
    <col min="100" max="100" width="14.453125" bestFit="1" customWidth="1"/>
    <col min="101" max="101" width="17.26953125" customWidth="1"/>
    <col min="102" max="102" width="14.453125" hidden="1" customWidth="1" outlineLevel="1"/>
    <col min="103" max="103" width="14.26953125" hidden="1" customWidth="1" outlineLevel="1"/>
    <col min="104" max="104" width="14.81640625" hidden="1" customWidth="1" outlineLevel="1"/>
    <col min="105" max="105" width="9.26953125" collapsed="1"/>
  </cols>
  <sheetData>
    <row r="1" spans="1:104" ht="15" hidden="1" outlineLevel="1" thickBot="1" x14ac:dyDescent="0.4">
      <c r="A1"/>
      <c r="B1"/>
      <c r="C1"/>
      <c r="D1"/>
      <c r="E1"/>
      <c r="F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104" hidden="1" outlineLevel="1" x14ac:dyDescent="0.35">
      <c r="G2" s="143"/>
      <c r="H2" s="144" t="s">
        <v>1016</v>
      </c>
      <c r="I2" s="403"/>
      <c r="J2" s="403"/>
      <c r="K2" s="403"/>
      <c r="L2" s="403"/>
      <c r="M2" s="143"/>
      <c r="N2" s="144" t="s">
        <v>1016</v>
      </c>
      <c r="O2" s="403"/>
      <c r="P2" s="403"/>
      <c r="Q2"/>
      <c r="R2"/>
      <c r="T2"/>
      <c r="U2"/>
      <c r="V2"/>
      <c r="W2"/>
      <c r="X2"/>
      <c r="Y2"/>
      <c r="Z2"/>
      <c r="AA2"/>
      <c r="AB2"/>
      <c r="AC2"/>
      <c r="AD2"/>
      <c r="AE2" s="143"/>
      <c r="AF2" s="144" t="s">
        <v>1016</v>
      </c>
      <c r="AG2"/>
      <c r="AH2"/>
      <c r="AI2"/>
      <c r="AJ2"/>
      <c r="AK2"/>
      <c r="AL2"/>
      <c r="AM2"/>
      <c r="AN2"/>
      <c r="AO2"/>
      <c r="AP2"/>
      <c r="AQ2"/>
      <c r="AR2"/>
      <c r="AS2"/>
      <c r="AT2"/>
      <c r="AU2"/>
      <c r="AV2"/>
      <c r="AW2" s="143"/>
      <c r="AX2" s="144" t="s">
        <v>1016</v>
      </c>
      <c r="AY2"/>
      <c r="AZ2"/>
      <c r="BA2"/>
      <c r="BB2"/>
      <c r="BC2"/>
      <c r="BD2"/>
      <c r="BE2"/>
      <c r="BF2"/>
      <c r="BG2"/>
      <c r="BH2"/>
      <c r="BI2"/>
      <c r="BJ2"/>
      <c r="BK2"/>
      <c r="BL2"/>
      <c r="BM2"/>
      <c r="BN2"/>
      <c r="BO2" s="143"/>
      <c r="BP2" s="144" t="s">
        <v>1016</v>
      </c>
      <c r="BQ2"/>
      <c r="BR2"/>
      <c r="BS2"/>
      <c r="BT2"/>
      <c r="CG2" s="143"/>
      <c r="CH2" s="144" t="s">
        <v>1016</v>
      </c>
      <c r="CW2" s="144" t="s">
        <v>1016</v>
      </c>
    </row>
    <row r="3" spans="1:104" hidden="1" outlineLevel="1" x14ac:dyDescent="0.35">
      <c r="G3" s="348"/>
      <c r="H3" s="349" t="str">
        <f>CONCATENATE("Exh. SEF-11 page "&amp;VLOOKUP(A7,'Adj List'!$A:$E,5,FALSE)&amp;" of "&amp;'Adj List'!$E$1)</f>
        <v>Exh. SEF-11 page 51 of 36</v>
      </c>
      <c r="I3" s="404"/>
      <c r="J3" s="404"/>
      <c r="K3" s="404"/>
      <c r="L3" s="404"/>
      <c r="M3" s="348"/>
      <c r="N3" s="349" t="str">
        <f>CONCATENATE("Exh. SEF-11 page "&amp;VLOOKUP(A7,'Adj List'!$A:$E,5,FALSE)&amp;" of "&amp;'Adj List'!$E$1)</f>
        <v>Exh. SEF-11 page 51 of 36</v>
      </c>
      <c r="O3" s="404"/>
      <c r="P3" s="404"/>
      <c r="Q3"/>
      <c r="R3"/>
      <c r="T3"/>
      <c r="U3"/>
      <c r="V3"/>
      <c r="W3"/>
      <c r="X3"/>
      <c r="Y3"/>
      <c r="Z3"/>
      <c r="AA3"/>
      <c r="AB3"/>
      <c r="AC3"/>
      <c r="AD3"/>
      <c r="AE3" s="348"/>
      <c r="AF3" s="349" t="str">
        <f>CONCATENATE("Exh. SEF-11 page "&amp;VLOOKUP(S7,'Adj List'!$A:$E,5,FALSE)&amp;" of "&amp;'Adj List'!$E$1)</f>
        <v>Exh. SEF-11 page 52 of 36</v>
      </c>
      <c r="AG3"/>
      <c r="AH3"/>
      <c r="AI3"/>
      <c r="AJ3"/>
      <c r="AK3"/>
      <c r="AL3"/>
      <c r="AM3"/>
      <c r="AN3"/>
      <c r="AO3"/>
      <c r="AP3"/>
      <c r="AQ3"/>
      <c r="AR3"/>
      <c r="AS3"/>
      <c r="AT3"/>
      <c r="AU3"/>
      <c r="AV3"/>
      <c r="AW3" s="348"/>
      <c r="AX3" s="349" t="e">
        <f>CONCATENATE("Exh. SEF-11 page "&amp;VLOOKUP(AK7,'Adj List'!$A:$E,5,FALSE)&amp;" of "&amp;'Adj List'!$E$1)</f>
        <v>#N/A</v>
      </c>
      <c r="AY3"/>
      <c r="AZ3"/>
      <c r="BA3"/>
      <c r="BB3"/>
      <c r="BC3"/>
      <c r="BD3"/>
      <c r="BE3"/>
      <c r="BF3"/>
      <c r="BG3"/>
      <c r="BH3"/>
      <c r="BI3"/>
      <c r="BJ3"/>
      <c r="BK3"/>
      <c r="BL3"/>
      <c r="BM3"/>
      <c r="BN3"/>
      <c r="BO3" s="348"/>
      <c r="BP3" s="349" t="str">
        <f>CONCATENATE("Exh. SEF-11 page "&amp;VLOOKUP(BC7,'Adj List'!$A:$E,5,FALSE)&amp;" of "&amp;'Adj List'!$E$1)</f>
        <v>Exh. SEF-11 page 34 of 36</v>
      </c>
      <c r="BQ3"/>
      <c r="BR3"/>
      <c r="BS3"/>
      <c r="BT3"/>
      <c r="CG3" s="348"/>
      <c r="CH3" s="349" t="str">
        <f>CONCATENATE("Exh. SEF-11 page "&amp;VLOOKUP(BU7,'Adj List'!$A:$E,5,FALSE)&amp;" of "&amp;'Adj List'!$E$1)</f>
        <v>Exh. SEF-11 page 35 of 36</v>
      </c>
      <c r="CW3" s="349" t="str">
        <f>CONCATENATE("Exh. SEF-11 page "&amp;VLOOKUP(CM7,'Adj List'!$A:$E,5,FALSE)&amp;" of "&amp;'Adj List'!$E$1)</f>
        <v>Exh. SEF-11 page 36 of 36</v>
      </c>
    </row>
    <row r="4" spans="1:104" ht="15" hidden="1" outlineLevel="1" thickBot="1" x14ac:dyDescent="0.4">
      <c r="G4" s="350" t="s">
        <v>883</v>
      </c>
      <c r="H4" s="351" t="str">
        <f>VLOOKUP(A7,'Adj List'!$A$74:$C$87,3,FALSE)</f>
        <v>N/A</v>
      </c>
      <c r="M4" s="350" t="s">
        <v>883</v>
      </c>
      <c r="N4" s="351" t="str">
        <f>VLOOKUP(A7,'Adj List'!$A$74:$C$87,3,FALSE)</f>
        <v>N/A</v>
      </c>
      <c r="Q4"/>
      <c r="R4"/>
      <c r="T4"/>
      <c r="U4"/>
      <c r="V4"/>
      <c r="W4"/>
      <c r="X4"/>
      <c r="Y4"/>
      <c r="Z4"/>
      <c r="AA4"/>
      <c r="AB4"/>
      <c r="AC4"/>
      <c r="AD4"/>
      <c r="AE4" s="350" t="s">
        <v>883</v>
      </c>
      <c r="AF4" s="351" t="str">
        <f>VLOOKUP(S7,'Adj List'!$A$74:$C$87,3,FALSE)</f>
        <v>N/A</v>
      </c>
      <c r="AG4"/>
      <c r="AH4"/>
      <c r="AI4"/>
      <c r="AJ4"/>
      <c r="AK4"/>
      <c r="AL4"/>
      <c r="AM4"/>
      <c r="AN4"/>
      <c r="AO4"/>
      <c r="AP4"/>
      <c r="AQ4"/>
      <c r="AR4"/>
      <c r="AS4"/>
      <c r="AT4"/>
      <c r="AU4"/>
      <c r="AV4"/>
      <c r="AW4" s="350" t="s">
        <v>883</v>
      </c>
      <c r="AX4" s="351" t="e">
        <f>VLOOKUP(AK7,'Adj List'!$A$74:$C$87,3,FALSE)</f>
        <v>#N/A</v>
      </c>
      <c r="AY4"/>
      <c r="AZ4"/>
      <c r="BA4"/>
      <c r="BB4"/>
      <c r="BC4"/>
      <c r="BD4"/>
      <c r="BE4"/>
      <c r="BF4"/>
      <c r="BG4"/>
      <c r="BH4"/>
      <c r="BI4"/>
      <c r="BJ4"/>
      <c r="BK4"/>
      <c r="BL4"/>
      <c r="BM4"/>
      <c r="BN4"/>
      <c r="BO4" s="350" t="s">
        <v>883</v>
      </c>
      <c r="BP4" s="351">
        <f>VLOOKUP(BC7,'Adj List'!$A$74:$C$87,3,FALSE)</f>
        <v>11.379999999999992</v>
      </c>
      <c r="BQ4"/>
      <c r="BR4"/>
      <c r="BS4"/>
      <c r="BT4"/>
      <c r="CB4" s="147"/>
      <c r="CG4" s="350" t="s">
        <v>883</v>
      </c>
      <c r="CH4" s="351">
        <f>VLOOKUP(BU7,'Adj List'!$A$74:$C$87,3,FALSE)</f>
        <v>11.389999999999992</v>
      </c>
      <c r="CW4" s="351">
        <f>VLOOKUP(CM7,'Adj List'!$A$74:$C$87,3,FALSE)</f>
        <v>11.399999999999991</v>
      </c>
    </row>
    <row r="5" spans="1:104" s="1" customFormat="1" hidden="1" outlineLevel="1" x14ac:dyDescent="0.35">
      <c r="A5" s="145"/>
      <c r="CB5" s="695"/>
      <c r="CR5"/>
      <c r="CS5"/>
      <c r="CT5"/>
    </row>
    <row r="6" spans="1:104" s="1" customFormat="1" ht="11.25" customHeight="1" collapsed="1" x14ac:dyDescent="0.3">
      <c r="A6" s="145" t="str">
        <f>Company</f>
        <v>PUGET SOUND ENERGY - GAS</v>
      </c>
      <c r="B6" s="127"/>
      <c r="C6" s="127"/>
      <c r="D6" s="127"/>
      <c r="E6" s="127"/>
      <c r="F6" s="127"/>
      <c r="G6" s="127"/>
      <c r="H6" s="127"/>
      <c r="I6" s="127"/>
      <c r="J6" s="127"/>
      <c r="K6" s="127"/>
      <c r="L6" s="127"/>
      <c r="M6" s="127"/>
      <c r="N6" s="127"/>
      <c r="O6" s="112"/>
      <c r="P6" s="112"/>
      <c r="Q6" s="112"/>
      <c r="R6" s="112"/>
      <c r="S6" s="145" t="str">
        <f>Company</f>
        <v>PUGET SOUND ENERGY - GAS</v>
      </c>
      <c r="T6" s="127"/>
      <c r="U6" s="127"/>
      <c r="V6" s="127"/>
      <c r="W6" s="127"/>
      <c r="X6" s="127"/>
      <c r="Y6" s="127"/>
      <c r="Z6" s="127"/>
      <c r="AA6" s="127"/>
      <c r="AB6" s="127"/>
      <c r="AC6" s="127"/>
      <c r="AD6" s="127"/>
      <c r="AE6" s="127"/>
      <c r="AF6" s="127"/>
      <c r="AG6" s="112"/>
      <c r="AH6" s="112"/>
      <c r="AI6" s="112"/>
      <c r="AJ6" s="112"/>
      <c r="AK6" s="145" t="str">
        <f>Company</f>
        <v>PUGET SOUND ENERGY - GAS</v>
      </c>
      <c r="AL6" s="145"/>
      <c r="AM6" s="127"/>
      <c r="AN6" s="127"/>
      <c r="AO6" s="127"/>
      <c r="AP6" s="127"/>
      <c r="AQ6" s="127"/>
      <c r="AR6" s="127"/>
      <c r="AS6" s="127"/>
      <c r="AT6" s="127"/>
      <c r="AU6" s="127"/>
      <c r="AV6" s="127"/>
      <c r="AW6" s="127"/>
      <c r="AX6" s="127"/>
      <c r="AY6" s="112"/>
      <c r="AZ6" s="112"/>
      <c r="BA6" s="112"/>
      <c r="BB6" s="112"/>
      <c r="BC6" s="145" t="str">
        <f>Company</f>
        <v>PUGET SOUND ENERGY - GAS</v>
      </c>
      <c r="BD6" s="127"/>
      <c r="BE6" s="127"/>
      <c r="BF6" s="127"/>
      <c r="BG6" s="127"/>
      <c r="BH6" s="127"/>
      <c r="BI6" s="127"/>
      <c r="BJ6" s="127"/>
      <c r="BK6" s="127"/>
      <c r="BL6" s="127"/>
      <c r="BM6" s="127"/>
      <c r="BN6" s="127"/>
      <c r="BO6" s="127"/>
      <c r="BP6" s="127"/>
      <c r="BQ6" s="112"/>
      <c r="BR6" s="112"/>
      <c r="BS6" s="112"/>
      <c r="BT6" s="112"/>
      <c r="BU6" s="145" t="str">
        <f>Company</f>
        <v>PUGET SOUND ENERGY - GAS</v>
      </c>
      <c r="BV6" s="127"/>
      <c r="BW6" s="127"/>
      <c r="BX6" s="127"/>
      <c r="BY6" s="127"/>
      <c r="BZ6" s="127"/>
      <c r="CA6" s="127"/>
      <c r="CB6" s="127"/>
      <c r="CC6" s="127"/>
      <c r="CD6" s="127"/>
      <c r="CE6" s="127"/>
      <c r="CF6" s="127"/>
      <c r="CG6" s="127"/>
      <c r="CH6" s="127"/>
      <c r="CI6" s="112"/>
      <c r="CJ6" s="112"/>
      <c r="CK6" s="112"/>
      <c r="CL6" s="112"/>
      <c r="CM6" s="145" t="str">
        <f>Company</f>
        <v>PUGET SOUND ENERGY - GAS</v>
      </c>
      <c r="CN6" s="127"/>
      <c r="CO6" s="127"/>
      <c r="CP6" s="127"/>
      <c r="CQ6" s="127"/>
      <c r="CR6" s="127"/>
      <c r="CS6" s="127"/>
      <c r="CT6" s="127"/>
      <c r="CU6" s="127"/>
      <c r="CV6" s="127"/>
      <c r="CW6" s="127"/>
      <c r="CX6" s="112"/>
      <c r="CY6" s="112"/>
      <c r="CZ6" s="112"/>
    </row>
    <row r="7" spans="1:104" s="224" customFormat="1" ht="14.25" customHeight="1" x14ac:dyDescent="0.3">
      <c r="A7" s="222" t="str">
        <f>'Adj List'!A74</f>
        <v>Open E6</v>
      </c>
      <c r="B7" s="225"/>
      <c r="C7" s="225"/>
      <c r="D7" s="225"/>
      <c r="E7" s="225"/>
      <c r="F7" s="225"/>
      <c r="G7" s="225"/>
      <c r="H7" s="225"/>
      <c r="I7" s="225"/>
      <c r="J7" s="225"/>
      <c r="K7" s="225"/>
      <c r="L7" s="225"/>
      <c r="M7" s="225"/>
      <c r="N7" s="225"/>
      <c r="O7" s="745"/>
      <c r="P7" s="745"/>
      <c r="Q7" s="745"/>
      <c r="R7" s="745"/>
      <c r="S7" s="222" t="str">
        <f>'Adj List'!A75</f>
        <v>Open E7</v>
      </c>
      <c r="T7" s="225"/>
      <c r="U7" s="225"/>
      <c r="V7" s="225"/>
      <c r="W7" s="225"/>
      <c r="X7" s="225"/>
      <c r="Y7" s="225"/>
      <c r="Z7" s="225"/>
      <c r="AA7" s="225"/>
      <c r="AB7" s="225"/>
      <c r="AC7" s="225"/>
      <c r="AD7" s="225"/>
      <c r="AE7" s="225"/>
      <c r="AF7" s="225"/>
      <c r="AG7" s="745"/>
      <c r="AH7" s="745"/>
      <c r="AI7" s="745"/>
      <c r="AJ7" s="745"/>
      <c r="AK7" s="222">
        <f>'Adj List'!A76</f>
        <v>0</v>
      </c>
      <c r="AL7" s="221"/>
      <c r="AM7" s="225"/>
      <c r="AN7" s="225"/>
      <c r="AO7" s="225"/>
      <c r="AP7" s="225"/>
      <c r="AQ7" s="225"/>
      <c r="AR7" s="225"/>
      <c r="AS7" s="225"/>
      <c r="AT7" s="225"/>
      <c r="AU7" s="225"/>
      <c r="AV7" s="225"/>
      <c r="AW7" s="225"/>
      <c r="AX7" s="225"/>
      <c r="AY7" s="745"/>
      <c r="AZ7" s="745"/>
      <c r="BA7" s="745"/>
      <c r="BB7" s="745"/>
      <c r="BC7" s="221" t="str">
        <f>+'Adj List'!A78</f>
        <v>TACOMA LNG PLANT AND DEFERRAL - REMOVAL</v>
      </c>
      <c r="BD7" s="225"/>
      <c r="BE7" s="225"/>
      <c r="BF7" s="225"/>
      <c r="BG7" s="225"/>
      <c r="BH7" s="225"/>
      <c r="BI7" s="225"/>
      <c r="BJ7" s="225"/>
      <c r="BK7" s="225"/>
      <c r="BL7" s="225"/>
      <c r="BM7" s="225"/>
      <c r="BN7" s="225"/>
      <c r="BO7" s="225"/>
      <c r="BP7" s="225"/>
      <c r="BQ7" s="745"/>
      <c r="BR7" s="745"/>
      <c r="BS7" s="745"/>
      <c r="BT7" s="745"/>
      <c r="BU7" s="221" t="str">
        <f>+'Adj List'!A79</f>
        <v>GAS REGULATORY ASSETS &amp; LIAB</v>
      </c>
      <c r="BV7" s="225"/>
      <c r="BW7" s="225"/>
      <c r="BX7" s="225"/>
      <c r="BY7" s="225"/>
      <c r="BZ7" s="225"/>
      <c r="CA7" s="225"/>
      <c r="CB7" s="225"/>
      <c r="CC7" s="225"/>
      <c r="CD7" s="225"/>
      <c r="CE7" s="225"/>
      <c r="CF7" s="225"/>
      <c r="CG7" s="225"/>
      <c r="CH7" s="225"/>
      <c r="CI7" s="745"/>
      <c r="CJ7" s="745"/>
      <c r="CK7" s="745"/>
      <c r="CL7" s="745"/>
      <c r="CM7" s="221" t="str">
        <f>'Adj List'!A80</f>
        <v>REMOVAL OF TACOMA LNG PROJECT 4 MILE 16-INCH PIPELINE</v>
      </c>
      <c r="CN7" s="225"/>
      <c r="CO7" s="225"/>
      <c r="CP7" s="225"/>
      <c r="CQ7" s="225"/>
      <c r="CR7" s="225"/>
      <c r="CS7" s="225"/>
      <c r="CT7" s="225"/>
      <c r="CU7" s="225"/>
      <c r="CV7" s="225"/>
      <c r="CW7" s="225"/>
      <c r="CX7" s="745"/>
      <c r="CY7" s="745"/>
      <c r="CZ7" s="745"/>
    </row>
    <row r="8" spans="1:104" s="234" customFormat="1" ht="13" x14ac:dyDescent="0.3">
      <c r="A8" s="126" t="str">
        <f>TestYear</f>
        <v>12 MONTHS ENDED JUNE 30, 2023</v>
      </c>
      <c r="B8" s="126"/>
      <c r="C8" s="126"/>
      <c r="D8" s="126"/>
      <c r="E8" s="126"/>
      <c r="F8" s="126"/>
      <c r="G8" s="126"/>
      <c r="H8" s="126"/>
      <c r="I8" s="126"/>
      <c r="J8" s="126"/>
      <c r="K8" s="126"/>
      <c r="L8" s="126"/>
      <c r="M8" s="126"/>
      <c r="N8" s="126"/>
      <c r="O8" s="149"/>
      <c r="P8" s="149"/>
      <c r="Q8" s="149"/>
      <c r="R8" s="149"/>
      <c r="S8" s="126" t="str">
        <f>TestYear</f>
        <v>12 MONTHS ENDED JUNE 30, 2023</v>
      </c>
      <c r="T8" s="126"/>
      <c r="U8" s="126"/>
      <c r="V8" s="126"/>
      <c r="W8" s="126"/>
      <c r="X8" s="126"/>
      <c r="Y8" s="126"/>
      <c r="Z8" s="126"/>
      <c r="AA8" s="126"/>
      <c r="AB8" s="126"/>
      <c r="AC8" s="126"/>
      <c r="AD8" s="126"/>
      <c r="AE8" s="126"/>
      <c r="AF8" s="126"/>
      <c r="AG8" s="149"/>
      <c r="AH8" s="149"/>
      <c r="AI8" s="149"/>
      <c r="AJ8" s="149"/>
      <c r="AK8" s="126" t="str">
        <f>TestYear</f>
        <v>12 MONTHS ENDED JUNE 30, 2023</v>
      </c>
      <c r="AL8" s="126"/>
      <c r="AM8" s="126"/>
      <c r="AN8" s="126"/>
      <c r="AO8" s="126"/>
      <c r="AP8" s="126"/>
      <c r="AQ8" s="126"/>
      <c r="AR8" s="126"/>
      <c r="AS8" s="126"/>
      <c r="AT8" s="126"/>
      <c r="AU8" s="126"/>
      <c r="AV8" s="126"/>
      <c r="AW8" s="126"/>
      <c r="AX8" s="126"/>
      <c r="AY8" s="149"/>
      <c r="AZ8" s="149"/>
      <c r="BA8" s="149"/>
      <c r="BB8" s="149"/>
      <c r="BC8" s="126" t="str">
        <f>TestYear</f>
        <v>12 MONTHS ENDED JUNE 30, 2023</v>
      </c>
      <c r="BD8" s="126"/>
      <c r="BE8" s="126"/>
      <c r="BF8" s="126"/>
      <c r="BG8" s="126"/>
      <c r="BH8" s="126"/>
      <c r="BI8" s="126"/>
      <c r="BJ8" s="126"/>
      <c r="BK8" s="126"/>
      <c r="BL8" s="126"/>
      <c r="BM8" s="126"/>
      <c r="BN8" s="126"/>
      <c r="BO8" s="126"/>
      <c r="BP8" s="126"/>
      <c r="BQ8" s="149"/>
      <c r="BR8" s="149"/>
      <c r="BS8" s="149"/>
      <c r="BT8" s="149"/>
      <c r="BU8" s="126" t="str">
        <f>TestYear</f>
        <v>12 MONTHS ENDED JUNE 30, 2023</v>
      </c>
      <c r="BV8" s="126"/>
      <c r="BW8" s="126"/>
      <c r="BX8" s="126"/>
      <c r="BY8" s="126"/>
      <c r="BZ8" s="126"/>
      <c r="CA8" s="126"/>
      <c r="CB8" s="126"/>
      <c r="CC8" s="126"/>
      <c r="CD8" s="126"/>
      <c r="CE8" s="126"/>
      <c r="CF8" s="126"/>
      <c r="CG8" s="126"/>
      <c r="CH8" s="126"/>
      <c r="CI8" s="149"/>
      <c r="CJ8" s="149"/>
      <c r="CK8" s="149"/>
      <c r="CL8" s="149"/>
      <c r="CM8" s="126" t="str">
        <f>TestYear</f>
        <v>12 MONTHS ENDED JUNE 30, 2023</v>
      </c>
      <c r="CN8" s="126"/>
      <c r="CO8" s="126"/>
      <c r="CP8" s="126"/>
      <c r="CQ8" s="126"/>
      <c r="CR8" s="126"/>
      <c r="CS8" s="126"/>
      <c r="CT8" s="126"/>
      <c r="CU8" s="126"/>
      <c r="CV8" s="126"/>
      <c r="CW8" s="126"/>
      <c r="CX8" s="149"/>
      <c r="CY8" s="149"/>
      <c r="CZ8" s="149"/>
    </row>
    <row r="9" spans="1:104" s="706" customFormat="1" ht="30.75" customHeight="1" x14ac:dyDescent="0.35">
      <c r="A9" s="666" t="str">
        <f>RateCase</f>
        <v>2024 GENERAL RATE CASE</v>
      </c>
      <c r="B9" s="666"/>
      <c r="C9" s="666"/>
      <c r="D9" s="666"/>
      <c r="E9" s="666"/>
      <c r="F9" s="666"/>
      <c r="G9" s="666"/>
      <c r="H9" s="666"/>
      <c r="I9" s="666"/>
      <c r="J9" s="666"/>
      <c r="K9" s="666"/>
      <c r="L9" s="666"/>
      <c r="M9" s="666"/>
      <c r="N9" s="666"/>
      <c r="O9" s="198"/>
      <c r="P9" s="198"/>
      <c r="Q9" s="198"/>
      <c r="R9" s="198"/>
      <c r="S9" s="666" t="str">
        <f>RateCase</f>
        <v>2024 GENERAL RATE CASE</v>
      </c>
      <c r="T9" s="666"/>
      <c r="U9" s="666"/>
      <c r="V9" s="666"/>
      <c r="W9" s="666"/>
      <c r="X9" s="666"/>
      <c r="Y9" s="666"/>
      <c r="Z9" s="666"/>
      <c r="AA9" s="666"/>
      <c r="AB9" s="666"/>
      <c r="AC9" s="666"/>
      <c r="AD9" s="666"/>
      <c r="AE9" s="666"/>
      <c r="AF9" s="666"/>
      <c r="AG9" s="198"/>
      <c r="AH9" s="198"/>
      <c r="AI9" s="198"/>
      <c r="AJ9" s="198"/>
      <c r="AK9" s="666" t="str">
        <f>RateCase</f>
        <v>2024 GENERAL RATE CASE</v>
      </c>
      <c r="AL9" s="666"/>
      <c r="AM9" s="666"/>
      <c r="AN9" s="666"/>
      <c r="AO9" s="666"/>
      <c r="AP9" s="666"/>
      <c r="AQ9" s="666"/>
      <c r="AR9" s="666"/>
      <c r="AS9" s="666"/>
      <c r="AT9" s="666"/>
      <c r="AU9" s="666"/>
      <c r="AV9" s="666"/>
      <c r="AW9" s="666"/>
      <c r="AX9" s="666"/>
      <c r="AY9" s="198"/>
      <c r="AZ9" s="198"/>
      <c r="BA9" s="198"/>
      <c r="BB9" s="198"/>
      <c r="BC9" s="666" t="str">
        <f>RateCase</f>
        <v>2024 GENERAL RATE CASE</v>
      </c>
      <c r="BD9" s="666"/>
      <c r="BE9" s="666"/>
      <c r="BF9" s="666"/>
      <c r="BG9" s="666"/>
      <c r="BH9" s="666"/>
      <c r="BI9" s="666"/>
      <c r="BJ9" s="666"/>
      <c r="BK9" s="666"/>
      <c r="BL9" s="666"/>
      <c r="BM9" s="666"/>
      <c r="BN9" s="666"/>
      <c r="BO9" s="666"/>
      <c r="BP9" s="666"/>
      <c r="BQ9" s="198"/>
      <c r="BR9" s="198"/>
      <c r="BS9" s="198"/>
      <c r="BT9" s="198"/>
      <c r="BU9" s="666" t="str">
        <f>RateCase</f>
        <v>2024 GENERAL RATE CASE</v>
      </c>
      <c r="BV9" s="666"/>
      <c r="BW9" s="666"/>
      <c r="BX9" s="666"/>
      <c r="BY9" s="666"/>
      <c r="BZ9" s="666"/>
      <c r="CA9" s="666"/>
      <c r="CB9" s="666"/>
      <c r="CC9" s="666"/>
      <c r="CD9" s="666"/>
      <c r="CE9" s="666"/>
      <c r="CF9" s="666"/>
      <c r="CG9" s="666"/>
      <c r="CH9" s="666"/>
      <c r="CI9" s="198"/>
      <c r="CJ9" s="198"/>
      <c r="CK9" s="198"/>
      <c r="CL9" s="198"/>
      <c r="CM9" s="666" t="str">
        <f>RateCase</f>
        <v>2024 GENERAL RATE CASE</v>
      </c>
      <c r="CN9" s="666"/>
      <c r="CO9" s="666"/>
      <c r="CP9" s="666"/>
      <c r="CQ9" s="666"/>
      <c r="CR9" s="666"/>
      <c r="CS9" s="666"/>
      <c r="CT9" s="666"/>
      <c r="CU9" s="666"/>
      <c r="CV9" s="666"/>
      <c r="CW9" s="666"/>
      <c r="CX9" s="198"/>
      <c r="CY9" s="198"/>
      <c r="CZ9" s="198"/>
    </row>
    <row r="10" spans="1:104" s="1" customFormat="1" x14ac:dyDescent="0.35">
      <c r="B10" s="145"/>
      <c r="C10" s="127"/>
      <c r="D10" s="226" t="s">
        <v>1020</v>
      </c>
      <c r="E10" s="226"/>
      <c r="F10" s="226" t="s">
        <v>45</v>
      </c>
      <c r="G10" s="226"/>
      <c r="H10" s="226" t="s">
        <v>45</v>
      </c>
      <c r="I10" s="226"/>
      <c r="J10" s="226" t="s">
        <v>45</v>
      </c>
      <c r="K10" s="226"/>
      <c r="L10" s="226" t="s">
        <v>1020</v>
      </c>
      <c r="M10" s="226"/>
      <c r="N10" s="226" t="s">
        <v>46</v>
      </c>
      <c r="O10" s="226"/>
      <c r="P10" s="226" t="s">
        <v>1020</v>
      </c>
      <c r="Q10" s="226"/>
      <c r="R10" s="226" t="s">
        <v>1020</v>
      </c>
      <c r="T10" s="145"/>
      <c r="U10" s="127"/>
      <c r="V10" s="226" t="s">
        <v>1020</v>
      </c>
      <c r="W10" s="226"/>
      <c r="X10" s="226" t="s">
        <v>45</v>
      </c>
      <c r="Y10" s="226"/>
      <c r="Z10" s="226" t="s">
        <v>45</v>
      </c>
      <c r="AA10" s="226"/>
      <c r="AB10" s="226" t="s">
        <v>45</v>
      </c>
      <c r="AC10" s="226"/>
      <c r="AD10" s="226" t="s">
        <v>1020</v>
      </c>
      <c r="AE10" s="226"/>
      <c r="AF10" s="226" t="s">
        <v>46</v>
      </c>
      <c r="AG10" s="226"/>
      <c r="AH10" s="226" t="s">
        <v>1020</v>
      </c>
      <c r="AI10" s="226"/>
      <c r="AJ10" s="226" t="s">
        <v>1020</v>
      </c>
      <c r="AK10" s="145"/>
      <c r="AL10" s="145"/>
      <c r="AM10" s="127"/>
      <c r="AN10" s="226" t="s">
        <v>1020</v>
      </c>
      <c r="AO10" s="226"/>
      <c r="AP10" s="226" t="s">
        <v>45</v>
      </c>
      <c r="AQ10" s="226"/>
      <c r="AR10" s="226" t="s">
        <v>45</v>
      </c>
      <c r="AS10" s="226"/>
      <c r="AT10" s="226" t="s">
        <v>45</v>
      </c>
      <c r="AU10" s="226"/>
      <c r="AV10" s="226" t="s">
        <v>1020</v>
      </c>
      <c r="AW10" s="226"/>
      <c r="AX10" s="226" t="s">
        <v>46</v>
      </c>
      <c r="AY10" s="226"/>
      <c r="AZ10" s="226" t="s">
        <v>1020</v>
      </c>
      <c r="BA10" s="226"/>
      <c r="BB10" s="226" t="s">
        <v>1020</v>
      </c>
      <c r="BC10" s="145"/>
      <c r="BD10" s="127"/>
      <c r="BE10" s="127"/>
      <c r="BF10" s="226" t="s">
        <v>1565</v>
      </c>
      <c r="BG10" s="226"/>
      <c r="BH10" s="226" t="s">
        <v>45</v>
      </c>
      <c r="BI10" s="226"/>
      <c r="BJ10" s="226" t="s">
        <v>45</v>
      </c>
      <c r="BK10" s="226"/>
      <c r="BL10" s="226" t="s">
        <v>45</v>
      </c>
      <c r="BM10" s="226"/>
      <c r="BN10" s="226" t="s">
        <v>1020</v>
      </c>
      <c r="BO10" s="226"/>
      <c r="BP10" s="226" t="s">
        <v>46</v>
      </c>
      <c r="BQ10" s="226"/>
      <c r="BR10" s="226" t="s">
        <v>1020</v>
      </c>
      <c r="BS10" s="226"/>
      <c r="BT10" s="226" t="s">
        <v>1020</v>
      </c>
      <c r="BU10" s="705"/>
      <c r="BV10" s="234"/>
      <c r="BW10" s="703"/>
      <c r="BX10" s="226" t="s">
        <v>1020</v>
      </c>
      <c r="BY10" s="226"/>
      <c r="BZ10" s="226" t="s">
        <v>45</v>
      </c>
      <c r="CA10" s="226"/>
      <c r="CB10" s="226" t="s">
        <v>45</v>
      </c>
      <c r="CC10" s="226"/>
      <c r="CD10" s="226" t="s">
        <v>45</v>
      </c>
      <c r="CE10" s="226"/>
      <c r="CF10" s="226" t="s">
        <v>1020</v>
      </c>
      <c r="CG10" s="226"/>
      <c r="CH10" s="226" t="s">
        <v>46</v>
      </c>
      <c r="CI10" s="226"/>
      <c r="CJ10" s="226" t="s">
        <v>1020</v>
      </c>
      <c r="CK10" s="226"/>
      <c r="CL10" s="226" t="s">
        <v>1020</v>
      </c>
      <c r="CM10" s="705"/>
      <c r="CN10"/>
      <c r="CO10" s="703"/>
      <c r="CP10" s="226" t="s">
        <v>1020</v>
      </c>
      <c r="CQ10" s="226"/>
      <c r="CR10" s="226" t="s">
        <v>45</v>
      </c>
      <c r="CS10" s="226"/>
      <c r="CT10" s="226" t="s">
        <v>45</v>
      </c>
      <c r="CU10" s="226"/>
      <c r="CV10" s="226" t="s">
        <v>45</v>
      </c>
      <c r="CW10" s="226"/>
      <c r="CX10" s="226" t="s">
        <v>46</v>
      </c>
      <c r="CY10" s="226"/>
      <c r="CZ10" s="226" t="s">
        <v>1020</v>
      </c>
    </row>
    <row r="11" spans="1:104" s="1" customFormat="1" ht="13" x14ac:dyDescent="0.3">
      <c r="B11" s="145"/>
      <c r="C11" s="127"/>
      <c r="D11" s="1138"/>
      <c r="E11" s="1139"/>
      <c r="F11" s="1139"/>
      <c r="G11" s="1139"/>
      <c r="H11" s="1139"/>
      <c r="I11" s="1139"/>
      <c r="J11" s="1140"/>
      <c r="K11" s="1140"/>
      <c r="L11" s="1140"/>
      <c r="M11" s="1140"/>
      <c r="N11" s="1143"/>
      <c r="O11" s="1140"/>
      <c r="P11" s="1140"/>
      <c r="Q11" s="1140"/>
      <c r="R11" s="1143"/>
      <c r="T11" s="145"/>
      <c r="U11" s="127"/>
      <c r="V11" s="1138"/>
      <c r="W11" s="1139"/>
      <c r="X11" s="1139"/>
      <c r="Y11" s="1139"/>
      <c r="Z11" s="1139"/>
      <c r="AA11" s="1139"/>
      <c r="AB11" s="1140"/>
      <c r="AC11" s="1140"/>
      <c r="AD11" s="1140"/>
      <c r="AE11" s="1140"/>
      <c r="AF11" s="1143"/>
      <c r="AG11" s="1140"/>
      <c r="AH11" s="1140"/>
      <c r="AI11" s="1140"/>
      <c r="AJ11" s="1143"/>
      <c r="AK11" s="145"/>
      <c r="AL11" s="145"/>
      <c r="AM11" s="127"/>
      <c r="AN11" s="1138"/>
      <c r="AO11" s="1139"/>
      <c r="AP11" s="1139"/>
      <c r="AQ11" s="1139"/>
      <c r="AR11" s="1139"/>
      <c r="AS11" s="1139"/>
      <c r="AT11" s="1140"/>
      <c r="AU11" s="1140"/>
      <c r="AV11" s="1140"/>
      <c r="AW11" s="1140"/>
      <c r="AX11" s="1143"/>
      <c r="AY11" s="1140"/>
      <c r="AZ11" s="1140"/>
      <c r="BA11" s="1140"/>
      <c r="BB11" s="1143"/>
      <c r="BC11" s="145"/>
      <c r="BD11" s="127" t="str">
        <f>PROPER(BE35)</f>
        <v/>
      </c>
      <c r="BE11" s="127"/>
      <c r="BF11" s="1138"/>
      <c r="BG11" s="1139"/>
      <c r="BH11" s="1139"/>
      <c r="BI11" s="1139"/>
      <c r="BJ11" s="1139"/>
      <c r="BK11" s="1139"/>
      <c r="BL11" s="1140"/>
      <c r="BM11" s="1140"/>
      <c r="BN11" s="1140"/>
      <c r="BO11" s="1140"/>
      <c r="BP11" s="1143"/>
      <c r="BQ11" s="1140"/>
      <c r="BR11" s="1140"/>
      <c r="BS11" s="1140"/>
      <c r="BT11" s="1143"/>
      <c r="BU11" s="704"/>
      <c r="BV11" s="703"/>
      <c r="BW11" s="703"/>
      <c r="BX11" s="1138"/>
      <c r="BY11" s="1139"/>
      <c r="BZ11" s="1139"/>
      <c r="CA11" s="1139"/>
      <c r="CB11" s="1139"/>
      <c r="CC11" s="1139"/>
      <c r="CD11" s="1140"/>
      <c r="CE11" s="1140"/>
      <c r="CF11" s="1140"/>
      <c r="CG11" s="1140"/>
      <c r="CH11" s="1143"/>
      <c r="CI11" s="1140"/>
      <c r="CJ11" s="1140"/>
      <c r="CK11" s="1140"/>
      <c r="CL11" s="1143"/>
      <c r="CM11" s="704"/>
      <c r="CN11" s="703"/>
      <c r="CO11" s="703"/>
      <c r="CP11" s="1138"/>
      <c r="CQ11" s="1139"/>
      <c r="CR11" s="1139"/>
      <c r="CS11" s="1139"/>
      <c r="CT11" s="1139"/>
      <c r="CU11" s="1139"/>
      <c r="CV11" s="1140"/>
      <c r="CW11" s="1140"/>
      <c r="CX11" s="1140"/>
      <c r="CY11" s="1140"/>
      <c r="CZ11" s="1143"/>
    </row>
    <row r="12" spans="1:104" s="1" customFormat="1" x14ac:dyDescent="0.35">
      <c r="B12" s="145"/>
      <c r="C12" s="127"/>
      <c r="D12" s="21"/>
      <c r="E12" s="387"/>
      <c r="F12" s="1141"/>
      <c r="G12" s="1142"/>
      <c r="H12" s="661" t="s">
        <v>937</v>
      </c>
      <c r="I12" s="101">
        <v>2024</v>
      </c>
      <c r="J12" s="660" t="s">
        <v>12</v>
      </c>
      <c r="K12" s="393">
        <v>2025</v>
      </c>
      <c r="L12" s="660" t="s">
        <v>12</v>
      </c>
      <c r="M12" s="393">
        <v>2026</v>
      </c>
      <c r="N12" s="1117" t="s">
        <v>12</v>
      </c>
      <c r="O12" s="393"/>
      <c r="P12" s="660" t="s">
        <v>12</v>
      </c>
      <c r="Q12" s="393"/>
      <c r="R12" s="1117" t="s">
        <v>12</v>
      </c>
      <c r="T12" s="145"/>
      <c r="U12" s="127"/>
      <c r="V12" s="21"/>
      <c r="W12" s="387"/>
      <c r="X12" s="1141"/>
      <c r="Y12" s="1142"/>
      <c r="Z12" s="661" t="s">
        <v>937</v>
      </c>
      <c r="AA12" s="101">
        <v>2024</v>
      </c>
      <c r="AB12" s="660" t="s">
        <v>12</v>
      </c>
      <c r="AC12" s="393">
        <v>2025</v>
      </c>
      <c r="AD12" s="660" t="s">
        <v>12</v>
      </c>
      <c r="AE12" s="393">
        <v>2026</v>
      </c>
      <c r="AF12" s="1117" t="s">
        <v>12</v>
      </c>
      <c r="AG12" s="393"/>
      <c r="AH12" s="660" t="s">
        <v>12</v>
      </c>
      <c r="AI12" s="393"/>
      <c r="AJ12" s="1117" t="s">
        <v>12</v>
      </c>
      <c r="AK12" s="206"/>
      <c r="AL12" s="206"/>
      <c r="AM12" s="206"/>
      <c r="AN12" s="21"/>
      <c r="AO12" s="387"/>
      <c r="AP12" s="1141"/>
      <c r="AQ12" s="1142"/>
      <c r="AR12" s="661" t="s">
        <v>937</v>
      </c>
      <c r="AS12" s="101">
        <v>2024</v>
      </c>
      <c r="AT12" s="660" t="s">
        <v>12</v>
      </c>
      <c r="AU12" s="393">
        <v>2025</v>
      </c>
      <c r="AV12" s="660" t="s">
        <v>12</v>
      </c>
      <c r="AW12" s="393">
        <v>2026</v>
      </c>
      <c r="AX12" s="1117" t="s">
        <v>12</v>
      </c>
      <c r="AY12" s="393"/>
      <c r="AZ12" s="660" t="s">
        <v>12</v>
      </c>
      <c r="BA12" s="393"/>
      <c r="BB12" s="1117" t="s">
        <v>12</v>
      </c>
      <c r="BD12" s="145"/>
      <c r="BE12" s="127"/>
      <c r="BF12" s="21"/>
      <c r="BG12" s="387"/>
      <c r="BH12" s="1141"/>
      <c r="BI12" s="1142"/>
      <c r="BJ12" s="661" t="s">
        <v>937</v>
      </c>
      <c r="BK12" s="101">
        <v>2024</v>
      </c>
      <c r="BL12" s="660" t="s">
        <v>12</v>
      </c>
      <c r="BM12" s="393">
        <v>2025</v>
      </c>
      <c r="BN12" s="660" t="s">
        <v>12</v>
      </c>
      <c r="BO12" s="393">
        <v>2026</v>
      </c>
      <c r="BP12" s="1117" t="s">
        <v>12</v>
      </c>
      <c r="BQ12" s="393"/>
      <c r="BR12" s="660" t="s">
        <v>12</v>
      </c>
      <c r="BS12" s="393"/>
      <c r="BT12" s="1117" t="s">
        <v>12</v>
      </c>
      <c r="BU12" s="234"/>
      <c r="BV12" s="234"/>
      <c r="BW12" s="702"/>
      <c r="BX12" s="21"/>
      <c r="BY12" s="387"/>
      <c r="BZ12" s="1141"/>
      <c r="CA12" s="1142"/>
      <c r="CB12" s="661" t="s">
        <v>937</v>
      </c>
      <c r="CC12" s="101">
        <v>2024</v>
      </c>
      <c r="CD12" s="660" t="s">
        <v>12</v>
      </c>
      <c r="CE12" s="393">
        <v>2025</v>
      </c>
      <c r="CF12" s="660" t="s">
        <v>12</v>
      </c>
      <c r="CG12" s="393">
        <v>2026</v>
      </c>
      <c r="CH12" s="1117" t="s">
        <v>12</v>
      </c>
      <c r="CI12" s="393"/>
      <c r="CJ12" s="660" t="s">
        <v>12</v>
      </c>
      <c r="CK12" s="393"/>
      <c r="CL12" s="1117" t="s">
        <v>12</v>
      </c>
      <c r="CM12"/>
      <c r="CN12"/>
      <c r="CO12" s="702"/>
      <c r="CP12" s="21"/>
      <c r="CQ12" s="387"/>
      <c r="CR12" s="1141"/>
      <c r="CS12" s="1142"/>
      <c r="CT12" s="661" t="s">
        <v>937</v>
      </c>
      <c r="CU12" s="101">
        <v>2024</v>
      </c>
      <c r="CV12" s="660" t="s">
        <v>12</v>
      </c>
      <c r="CW12" s="393">
        <v>2025</v>
      </c>
      <c r="CX12" s="660" t="s">
        <v>12</v>
      </c>
      <c r="CY12" s="393">
        <v>2026</v>
      </c>
      <c r="CZ12" s="1117" t="s">
        <v>12</v>
      </c>
    </row>
    <row r="13" spans="1:104" s="1" customFormat="1" ht="13" x14ac:dyDescent="0.3">
      <c r="C13" s="146"/>
      <c r="D13" s="22" t="s">
        <v>936</v>
      </c>
      <c r="E13" s="46"/>
      <c r="F13" s="1118" t="s">
        <v>11</v>
      </c>
      <c r="G13" s="1115" t="s">
        <v>14</v>
      </c>
      <c r="H13" s="7" t="s">
        <v>12</v>
      </c>
      <c r="I13" s="401" t="s">
        <v>36</v>
      </c>
      <c r="J13" s="60" t="s">
        <v>31</v>
      </c>
      <c r="K13" s="47" t="s">
        <v>33</v>
      </c>
      <c r="L13" s="60" t="s">
        <v>31</v>
      </c>
      <c r="M13" s="47" t="s">
        <v>37</v>
      </c>
      <c r="N13" s="1118" t="s">
        <v>31</v>
      </c>
      <c r="O13" s="47" t="s">
        <v>39</v>
      </c>
      <c r="P13" s="60" t="s">
        <v>31</v>
      </c>
      <c r="Q13" s="47" t="s">
        <v>946</v>
      </c>
      <c r="R13" s="1118" t="s">
        <v>31</v>
      </c>
      <c r="T13" s="146"/>
      <c r="V13" s="22" t="s">
        <v>936</v>
      </c>
      <c r="W13" s="46"/>
      <c r="X13" s="1118" t="s">
        <v>11</v>
      </c>
      <c r="Y13" s="1115" t="s">
        <v>14</v>
      </c>
      <c r="Z13" s="7" t="s">
        <v>12</v>
      </c>
      <c r="AA13" s="401" t="s">
        <v>36</v>
      </c>
      <c r="AB13" s="60" t="s">
        <v>31</v>
      </c>
      <c r="AC13" s="47" t="s">
        <v>33</v>
      </c>
      <c r="AD13" s="60" t="s">
        <v>31</v>
      </c>
      <c r="AE13" s="47" t="s">
        <v>37</v>
      </c>
      <c r="AF13" s="1118" t="s">
        <v>31</v>
      </c>
      <c r="AG13" s="47" t="s">
        <v>39</v>
      </c>
      <c r="AH13" s="60" t="s">
        <v>31</v>
      </c>
      <c r="AI13" s="47" t="s">
        <v>946</v>
      </c>
      <c r="AJ13" s="1118" t="s">
        <v>31</v>
      </c>
      <c r="AK13" s="207"/>
      <c r="AL13" s="208"/>
      <c r="AM13" s="148"/>
      <c r="AN13" s="22" t="s">
        <v>936</v>
      </c>
      <c r="AO13" s="46"/>
      <c r="AP13" s="1118" t="s">
        <v>11</v>
      </c>
      <c r="AQ13" s="1115" t="s">
        <v>14</v>
      </c>
      <c r="AR13" s="7" t="s">
        <v>12</v>
      </c>
      <c r="AS13" s="401" t="s">
        <v>36</v>
      </c>
      <c r="AT13" s="60" t="s">
        <v>31</v>
      </c>
      <c r="AU13" s="47" t="s">
        <v>33</v>
      </c>
      <c r="AV13" s="60" t="s">
        <v>31</v>
      </c>
      <c r="AW13" s="47" t="s">
        <v>37</v>
      </c>
      <c r="AX13" s="1118" t="s">
        <v>31</v>
      </c>
      <c r="AY13" s="47" t="s">
        <v>39</v>
      </c>
      <c r="AZ13" s="60" t="s">
        <v>31</v>
      </c>
      <c r="BA13" s="47" t="s">
        <v>946</v>
      </c>
      <c r="BB13" s="1118" t="s">
        <v>31</v>
      </c>
      <c r="BE13" s="146"/>
      <c r="BF13" s="22" t="s">
        <v>936</v>
      </c>
      <c r="BG13" s="46"/>
      <c r="BH13" s="1118" t="s">
        <v>11</v>
      </c>
      <c r="BI13" s="1115" t="s">
        <v>14</v>
      </c>
      <c r="BJ13" s="7" t="s">
        <v>12</v>
      </c>
      <c r="BK13" s="401" t="s">
        <v>36</v>
      </c>
      <c r="BL13" s="60" t="s">
        <v>31</v>
      </c>
      <c r="BM13" s="47" t="s">
        <v>33</v>
      </c>
      <c r="BN13" s="60" t="s">
        <v>31</v>
      </c>
      <c r="BO13" s="47" t="s">
        <v>37</v>
      </c>
      <c r="BP13" s="1118" t="s">
        <v>31</v>
      </c>
      <c r="BQ13" s="47" t="s">
        <v>39</v>
      </c>
      <c r="BR13" s="60" t="s">
        <v>31</v>
      </c>
      <c r="BS13" s="47" t="s">
        <v>946</v>
      </c>
      <c r="BT13" s="1118" t="s">
        <v>31</v>
      </c>
      <c r="BU13" s="699"/>
      <c r="BV13" s="694"/>
      <c r="BW13" s="701"/>
      <c r="BX13" s="22" t="s">
        <v>936</v>
      </c>
      <c r="BY13" s="46"/>
      <c r="BZ13" s="1118" t="s">
        <v>11</v>
      </c>
      <c r="CA13" s="1115" t="s">
        <v>14</v>
      </c>
      <c r="CB13" s="7" t="s">
        <v>12</v>
      </c>
      <c r="CC13" s="401" t="s">
        <v>36</v>
      </c>
      <c r="CD13" s="60" t="s">
        <v>31</v>
      </c>
      <c r="CE13" s="47" t="s">
        <v>33</v>
      </c>
      <c r="CF13" s="60" t="s">
        <v>31</v>
      </c>
      <c r="CG13" s="47" t="s">
        <v>37</v>
      </c>
      <c r="CH13" s="1118" t="s">
        <v>31</v>
      </c>
      <c r="CI13" s="47" t="s">
        <v>39</v>
      </c>
      <c r="CJ13" s="60" t="s">
        <v>31</v>
      </c>
      <c r="CK13" s="47" t="s">
        <v>946</v>
      </c>
      <c r="CL13" s="1118" t="s">
        <v>31</v>
      </c>
      <c r="CM13" s="699"/>
      <c r="CN13" s="694"/>
      <c r="CO13" s="701"/>
      <c r="CP13" s="22" t="s">
        <v>936</v>
      </c>
      <c r="CQ13" s="46"/>
      <c r="CR13" s="1118" t="s">
        <v>11</v>
      </c>
      <c r="CS13" s="1115" t="s">
        <v>14</v>
      </c>
      <c r="CT13" s="7" t="s">
        <v>12</v>
      </c>
      <c r="CU13" s="401" t="s">
        <v>36</v>
      </c>
      <c r="CV13" s="60" t="s">
        <v>31</v>
      </c>
      <c r="CW13" s="47" t="s">
        <v>33</v>
      </c>
      <c r="CX13" s="60" t="s">
        <v>31</v>
      </c>
      <c r="CY13" s="47" t="s">
        <v>37</v>
      </c>
      <c r="CZ13" s="1118" t="s">
        <v>31</v>
      </c>
    </row>
    <row r="14" spans="1:104" s="1" customFormat="1" ht="13" x14ac:dyDescent="0.3">
      <c r="A14" s="110" t="s">
        <v>7</v>
      </c>
      <c r="B14" s="110"/>
      <c r="C14" s="3"/>
      <c r="D14" s="22" t="s">
        <v>5</v>
      </c>
      <c r="E14" s="47" t="s">
        <v>9</v>
      </c>
      <c r="F14" s="1118" t="s">
        <v>13</v>
      </c>
      <c r="G14" s="1115" t="s">
        <v>895</v>
      </c>
      <c r="H14" s="7" t="s">
        <v>13</v>
      </c>
      <c r="I14" s="401" t="s">
        <v>35</v>
      </c>
      <c r="J14" s="60" t="s">
        <v>32</v>
      </c>
      <c r="K14" s="47" t="s">
        <v>35</v>
      </c>
      <c r="L14" s="60" t="s">
        <v>40</v>
      </c>
      <c r="M14" s="47" t="s">
        <v>35</v>
      </c>
      <c r="N14" s="1118" t="s">
        <v>40</v>
      </c>
      <c r="O14" s="47" t="s">
        <v>35</v>
      </c>
      <c r="P14" s="60" t="s">
        <v>40</v>
      </c>
      <c r="Q14" s="47" t="s">
        <v>35</v>
      </c>
      <c r="R14" s="1118" t="s">
        <v>40</v>
      </c>
      <c r="S14" s="110" t="s">
        <v>7</v>
      </c>
      <c r="T14" s="3"/>
      <c r="V14" s="22" t="s">
        <v>5</v>
      </c>
      <c r="W14" s="47" t="s">
        <v>9</v>
      </c>
      <c r="X14" s="1118" t="s">
        <v>13</v>
      </c>
      <c r="Y14" s="1115" t="s">
        <v>895</v>
      </c>
      <c r="Z14" s="7" t="s">
        <v>13</v>
      </c>
      <c r="AA14" s="401" t="s">
        <v>35</v>
      </c>
      <c r="AB14" s="60" t="s">
        <v>32</v>
      </c>
      <c r="AC14" s="47" t="s">
        <v>35</v>
      </c>
      <c r="AD14" s="60" t="s">
        <v>40</v>
      </c>
      <c r="AE14" s="47" t="s">
        <v>35</v>
      </c>
      <c r="AF14" s="1118" t="s">
        <v>40</v>
      </c>
      <c r="AG14" s="47" t="s">
        <v>35</v>
      </c>
      <c r="AH14" s="60" t="s">
        <v>40</v>
      </c>
      <c r="AI14" s="47" t="s">
        <v>35</v>
      </c>
      <c r="AJ14" s="1118" t="s">
        <v>40</v>
      </c>
      <c r="AK14" s="209" t="s">
        <v>7</v>
      </c>
      <c r="AL14" s="207"/>
      <c r="AM14" s="3"/>
      <c r="AN14" s="22" t="s">
        <v>5</v>
      </c>
      <c r="AO14" s="47" t="s">
        <v>9</v>
      </c>
      <c r="AP14" s="1118" t="s">
        <v>13</v>
      </c>
      <c r="AQ14" s="1115" t="s">
        <v>895</v>
      </c>
      <c r="AR14" s="7" t="s">
        <v>13</v>
      </c>
      <c r="AS14" s="401" t="s">
        <v>35</v>
      </c>
      <c r="AT14" s="60" t="s">
        <v>32</v>
      </c>
      <c r="AU14" s="47" t="s">
        <v>35</v>
      </c>
      <c r="AV14" s="60" t="s">
        <v>40</v>
      </c>
      <c r="AW14" s="47" t="s">
        <v>35</v>
      </c>
      <c r="AX14" s="1118" t="s">
        <v>40</v>
      </c>
      <c r="AY14" s="47" t="s">
        <v>35</v>
      </c>
      <c r="AZ14" s="60" t="s">
        <v>40</v>
      </c>
      <c r="BA14" s="47" t="s">
        <v>35</v>
      </c>
      <c r="BB14" s="1118" t="s">
        <v>40</v>
      </c>
      <c r="BC14" s="110" t="s">
        <v>7</v>
      </c>
      <c r="BD14" s="110"/>
      <c r="BE14" s="3"/>
      <c r="BF14" s="22" t="s">
        <v>5</v>
      </c>
      <c r="BG14" s="47" t="s">
        <v>9</v>
      </c>
      <c r="BH14" s="1118" t="s">
        <v>13</v>
      </c>
      <c r="BI14" s="1115" t="s">
        <v>895</v>
      </c>
      <c r="BJ14" s="7" t="s">
        <v>13</v>
      </c>
      <c r="BK14" s="401" t="s">
        <v>35</v>
      </c>
      <c r="BL14" s="60" t="s">
        <v>32</v>
      </c>
      <c r="BM14" s="47" t="s">
        <v>35</v>
      </c>
      <c r="BN14" s="60" t="s">
        <v>40</v>
      </c>
      <c r="BO14" s="47" t="s">
        <v>35</v>
      </c>
      <c r="BP14" s="1118" t="s">
        <v>40</v>
      </c>
      <c r="BQ14" s="47" t="s">
        <v>35</v>
      </c>
      <c r="BR14" s="60" t="s">
        <v>40</v>
      </c>
      <c r="BS14" s="47" t="s">
        <v>35</v>
      </c>
      <c r="BT14" s="1118" t="s">
        <v>40</v>
      </c>
      <c r="BU14" s="700" t="s">
        <v>7</v>
      </c>
      <c r="BV14" s="699"/>
      <c r="BW14" s="586"/>
      <c r="BX14" s="22" t="s">
        <v>5</v>
      </c>
      <c r="BY14" s="47" t="s">
        <v>9</v>
      </c>
      <c r="BZ14" s="1118" t="s">
        <v>13</v>
      </c>
      <c r="CA14" s="1115" t="s">
        <v>895</v>
      </c>
      <c r="CB14" s="7" t="s">
        <v>13</v>
      </c>
      <c r="CC14" s="401" t="s">
        <v>35</v>
      </c>
      <c r="CD14" s="60" t="s">
        <v>32</v>
      </c>
      <c r="CE14" s="47" t="s">
        <v>35</v>
      </c>
      <c r="CF14" s="60" t="s">
        <v>40</v>
      </c>
      <c r="CG14" s="47" t="s">
        <v>35</v>
      </c>
      <c r="CH14" s="1118" t="s">
        <v>40</v>
      </c>
      <c r="CI14" s="47" t="s">
        <v>35</v>
      </c>
      <c r="CJ14" s="60" t="s">
        <v>40</v>
      </c>
      <c r="CK14" s="47" t="s">
        <v>35</v>
      </c>
      <c r="CL14" s="1118" t="s">
        <v>40</v>
      </c>
      <c r="CM14" s="700" t="s">
        <v>7</v>
      </c>
      <c r="CN14" s="699"/>
      <c r="CO14" s="586"/>
      <c r="CP14" s="22" t="s">
        <v>5</v>
      </c>
      <c r="CQ14" s="47" t="s">
        <v>9</v>
      </c>
      <c r="CR14" s="1118" t="s">
        <v>13</v>
      </c>
      <c r="CS14" s="1115" t="s">
        <v>895</v>
      </c>
      <c r="CT14" s="7" t="s">
        <v>13</v>
      </c>
      <c r="CU14" s="401" t="s">
        <v>35</v>
      </c>
      <c r="CV14" s="60" t="s">
        <v>32</v>
      </c>
      <c r="CW14" s="47" t="s">
        <v>35</v>
      </c>
      <c r="CX14" s="60" t="s">
        <v>40</v>
      </c>
      <c r="CY14" s="47" t="s">
        <v>35</v>
      </c>
      <c r="CZ14" s="1118" t="s">
        <v>40</v>
      </c>
    </row>
    <row r="15" spans="1:104" s="1" customFormat="1" ht="13" x14ac:dyDescent="0.3">
      <c r="A15" s="128" t="s">
        <v>78</v>
      </c>
      <c r="B15" s="128" t="s">
        <v>8</v>
      </c>
      <c r="C15" s="152" t="s">
        <v>194</v>
      </c>
      <c r="D15" s="23" t="s">
        <v>6</v>
      </c>
      <c r="E15" s="48" t="s">
        <v>10</v>
      </c>
      <c r="F15" s="1119" t="s">
        <v>15</v>
      </c>
      <c r="G15" s="1116" t="s">
        <v>10</v>
      </c>
      <c r="H15" s="8" t="s">
        <v>15</v>
      </c>
      <c r="I15" s="402" t="s">
        <v>10</v>
      </c>
      <c r="J15" s="61" t="s">
        <v>33</v>
      </c>
      <c r="K15" s="48" t="s">
        <v>10</v>
      </c>
      <c r="L15" s="61" t="s">
        <v>33</v>
      </c>
      <c r="M15" s="48" t="s">
        <v>10</v>
      </c>
      <c r="N15" s="1119" t="s">
        <v>37</v>
      </c>
      <c r="O15" s="48" t="s">
        <v>10</v>
      </c>
      <c r="P15" s="61" t="s">
        <v>33</v>
      </c>
      <c r="Q15" s="48" t="s">
        <v>10</v>
      </c>
      <c r="R15" s="1119" t="s">
        <v>37</v>
      </c>
      <c r="S15" s="128" t="s">
        <v>78</v>
      </c>
      <c r="T15" s="128" t="s">
        <v>8</v>
      </c>
      <c r="U15" s="152" t="s">
        <v>194</v>
      </c>
      <c r="V15" s="23" t="s">
        <v>6</v>
      </c>
      <c r="W15" s="48" t="s">
        <v>10</v>
      </c>
      <c r="X15" s="1119" t="s">
        <v>15</v>
      </c>
      <c r="Y15" s="1116" t="s">
        <v>10</v>
      </c>
      <c r="Z15" s="8" t="s">
        <v>15</v>
      </c>
      <c r="AA15" s="402" t="s">
        <v>10</v>
      </c>
      <c r="AB15" s="61" t="s">
        <v>33</v>
      </c>
      <c r="AC15" s="48" t="s">
        <v>10</v>
      </c>
      <c r="AD15" s="61" t="s">
        <v>33</v>
      </c>
      <c r="AE15" s="48" t="s">
        <v>10</v>
      </c>
      <c r="AF15" s="1119" t="s">
        <v>37</v>
      </c>
      <c r="AG15" s="48" t="s">
        <v>10</v>
      </c>
      <c r="AH15" s="61" t="s">
        <v>33</v>
      </c>
      <c r="AI15" s="48" t="s">
        <v>10</v>
      </c>
      <c r="AJ15" s="1119" t="s">
        <v>37</v>
      </c>
      <c r="AK15" s="210" t="s">
        <v>78</v>
      </c>
      <c r="AL15" s="211" t="s">
        <v>8</v>
      </c>
      <c r="AM15" s="155" t="s">
        <v>194</v>
      </c>
      <c r="AN15" s="23" t="s">
        <v>6</v>
      </c>
      <c r="AO15" s="48" t="s">
        <v>10</v>
      </c>
      <c r="AP15" s="1119" t="s">
        <v>15</v>
      </c>
      <c r="AQ15" s="1116" t="s">
        <v>10</v>
      </c>
      <c r="AR15" s="8" t="s">
        <v>15</v>
      </c>
      <c r="AS15" s="402" t="s">
        <v>10</v>
      </c>
      <c r="AT15" s="61" t="s">
        <v>33</v>
      </c>
      <c r="AU15" s="48" t="s">
        <v>10</v>
      </c>
      <c r="AV15" s="61" t="s">
        <v>33</v>
      </c>
      <c r="AW15" s="48" t="s">
        <v>10</v>
      </c>
      <c r="AX15" s="1119" t="s">
        <v>37</v>
      </c>
      <c r="AY15" s="48" t="s">
        <v>10</v>
      </c>
      <c r="AZ15" s="61" t="s">
        <v>33</v>
      </c>
      <c r="BA15" s="48" t="s">
        <v>10</v>
      </c>
      <c r="BB15" s="1119" t="s">
        <v>37</v>
      </c>
      <c r="BC15" s="128" t="s">
        <v>78</v>
      </c>
      <c r="BD15" s="128" t="s">
        <v>8</v>
      </c>
      <c r="BE15" s="152"/>
      <c r="BF15" s="23" t="s">
        <v>6</v>
      </c>
      <c r="BG15" s="48" t="s">
        <v>10</v>
      </c>
      <c r="BH15" s="1119" t="s">
        <v>15</v>
      </c>
      <c r="BI15" s="1116" t="s">
        <v>10</v>
      </c>
      <c r="BJ15" s="8" t="s">
        <v>15</v>
      </c>
      <c r="BK15" s="402" t="s">
        <v>10</v>
      </c>
      <c r="BL15" s="61" t="s">
        <v>33</v>
      </c>
      <c r="BM15" s="48" t="s">
        <v>10</v>
      </c>
      <c r="BN15" s="61" t="s">
        <v>33</v>
      </c>
      <c r="BO15" s="48" t="s">
        <v>10</v>
      </c>
      <c r="BP15" s="1119" t="s">
        <v>37</v>
      </c>
      <c r="BQ15" s="48" t="s">
        <v>10</v>
      </c>
      <c r="BR15" s="61" t="s">
        <v>33</v>
      </c>
      <c r="BS15" s="48" t="s">
        <v>10</v>
      </c>
      <c r="BT15" s="1119" t="s">
        <v>37</v>
      </c>
      <c r="BU15" s="698" t="s">
        <v>78</v>
      </c>
      <c r="BV15" s="697" t="s">
        <v>8</v>
      </c>
      <c r="BW15" s="696" t="s">
        <v>194</v>
      </c>
      <c r="BX15" s="23" t="s">
        <v>6</v>
      </c>
      <c r="BY15" s="48" t="s">
        <v>10</v>
      </c>
      <c r="BZ15" s="1119" t="s">
        <v>15</v>
      </c>
      <c r="CA15" s="1116" t="s">
        <v>10</v>
      </c>
      <c r="CB15" s="8" t="s">
        <v>15</v>
      </c>
      <c r="CC15" s="402" t="s">
        <v>10</v>
      </c>
      <c r="CD15" s="61" t="s">
        <v>33</v>
      </c>
      <c r="CE15" s="48" t="s">
        <v>10</v>
      </c>
      <c r="CF15" s="61" t="s">
        <v>33</v>
      </c>
      <c r="CG15" s="48" t="s">
        <v>10</v>
      </c>
      <c r="CH15" s="1119" t="s">
        <v>37</v>
      </c>
      <c r="CI15" s="48" t="s">
        <v>10</v>
      </c>
      <c r="CJ15" s="61" t="s">
        <v>33</v>
      </c>
      <c r="CK15" s="48" t="s">
        <v>10</v>
      </c>
      <c r="CL15" s="1119" t="s">
        <v>37</v>
      </c>
      <c r="CM15" s="698" t="s">
        <v>78</v>
      </c>
      <c r="CN15" s="697" t="s">
        <v>8</v>
      </c>
      <c r="CO15" s="696" t="s">
        <v>194</v>
      </c>
      <c r="CP15" s="23" t="s">
        <v>6</v>
      </c>
      <c r="CQ15" s="48" t="s">
        <v>10</v>
      </c>
      <c r="CR15" s="1119" t="s">
        <v>15</v>
      </c>
      <c r="CS15" s="1116" t="s">
        <v>10</v>
      </c>
      <c r="CT15" s="8" t="s">
        <v>15</v>
      </c>
      <c r="CU15" s="402" t="s">
        <v>10</v>
      </c>
      <c r="CV15" s="61" t="s">
        <v>33</v>
      </c>
      <c r="CW15" s="48" t="s">
        <v>10</v>
      </c>
      <c r="CX15" s="61" t="s">
        <v>33</v>
      </c>
      <c r="CY15" s="48" t="s">
        <v>10</v>
      </c>
      <c r="CZ15" s="1119" t="s">
        <v>37</v>
      </c>
    </row>
    <row r="16" spans="1:104" s="1" customFormat="1" ht="13" x14ac:dyDescent="0.3">
      <c r="BF16" s="695" t="s">
        <v>894</v>
      </c>
      <c r="BU16" s="694"/>
      <c r="BV16" s="247" t="s">
        <v>294</v>
      </c>
      <c r="BW16" s="694"/>
      <c r="BX16" s="1131"/>
      <c r="BY16" s="1131"/>
      <c r="BZ16" s="1131" t="s">
        <v>893</v>
      </c>
      <c r="CA16" s="1131"/>
      <c r="CB16" s="1131"/>
      <c r="CC16" s="1131"/>
      <c r="CD16" s="1131"/>
      <c r="CE16" s="1131"/>
      <c r="CF16" s="1131"/>
      <c r="CG16" s="1131"/>
      <c r="CH16" s="1131"/>
      <c r="CI16" s="1131"/>
      <c r="CJ16" s="1131"/>
      <c r="CK16" s="1131"/>
      <c r="CL16" s="1131"/>
    </row>
    <row r="17" spans="1:104" s="1" customFormat="1" ht="15.5" x14ac:dyDescent="0.35">
      <c r="A17" s="111">
        <f>ROW()</f>
        <v>17</v>
      </c>
      <c r="B17" s="112"/>
      <c r="C17" s="112"/>
      <c r="D17" s="166"/>
      <c r="E17" s="173"/>
      <c r="F17" s="173"/>
      <c r="G17" s="693"/>
      <c r="H17" s="173"/>
      <c r="I17" s="173"/>
      <c r="J17" s="173"/>
      <c r="K17" s="173"/>
      <c r="L17" s="173"/>
      <c r="M17" s="173"/>
      <c r="N17" s="173"/>
      <c r="O17" s="173"/>
      <c r="P17" s="173"/>
      <c r="Q17" s="173"/>
      <c r="R17" s="173"/>
      <c r="S17" s="111">
        <f>ROW()</f>
        <v>17</v>
      </c>
      <c r="T17" s="112"/>
      <c r="U17" s="112"/>
      <c r="V17" s="166"/>
      <c r="W17" s="173"/>
      <c r="X17" s="173"/>
      <c r="Y17" s="173"/>
      <c r="Z17" s="173"/>
      <c r="AA17" s="173"/>
      <c r="AB17" s="173"/>
      <c r="AC17" s="173"/>
      <c r="AD17" s="173"/>
      <c r="AE17" s="173"/>
      <c r="AF17" s="173"/>
      <c r="AG17" s="173"/>
      <c r="AH17" s="173"/>
      <c r="AI17" s="173"/>
      <c r="AJ17" s="173"/>
      <c r="AK17" s="111">
        <v>1</v>
      </c>
      <c r="AL17" s="112"/>
      <c r="AN17" s="114"/>
      <c r="AO17" s="114"/>
      <c r="AP17" s="114"/>
      <c r="AQ17" s="114"/>
      <c r="AR17" s="114"/>
      <c r="AS17" s="114"/>
      <c r="AT17" s="114"/>
      <c r="AU17" s="114"/>
      <c r="AV17" s="114"/>
      <c r="AW17" s="114"/>
      <c r="AX17" s="114"/>
      <c r="AY17" s="114"/>
      <c r="AZ17" s="114"/>
      <c r="BA17" s="114"/>
      <c r="BB17" s="114"/>
      <c r="BC17" s="111">
        <f>ROW()</f>
        <v>17</v>
      </c>
      <c r="BD17" s="247" t="s">
        <v>209</v>
      </c>
      <c r="BE17"/>
      <c r="BF17"/>
      <c r="BG17"/>
      <c r="BH17"/>
      <c r="BI17"/>
      <c r="BJ17"/>
      <c r="BK17"/>
      <c r="BL17"/>
      <c r="BM17"/>
      <c r="BN17"/>
      <c r="BO17" s="162"/>
      <c r="BP17" s="162"/>
      <c r="BQ17" s="162"/>
      <c r="BR17" s="162"/>
      <c r="BS17" s="162"/>
      <c r="BT17" s="162"/>
      <c r="BU17" s="345">
        <f>ROW()</f>
        <v>17</v>
      </c>
      <c r="BV17" s="232" t="s">
        <v>1842</v>
      </c>
      <c r="BW17" s="366"/>
      <c r="BX17" s="270"/>
      <c r="BY17" s="270"/>
      <c r="BZ17" s="366">
        <v>-15798.310000000001</v>
      </c>
      <c r="CA17" s="366">
        <v>15798.311000000196</v>
      </c>
      <c r="CB17" s="366">
        <f>SUM(BZ17:CA17)</f>
        <v>1.000000194835593E-3</v>
      </c>
      <c r="CC17" s="366">
        <v>-1.000000194835593E-3</v>
      </c>
      <c r="CD17" s="366">
        <f>SUM(CB17:CC17)</f>
        <v>0</v>
      </c>
      <c r="CE17" s="366">
        <v>0</v>
      </c>
      <c r="CF17" s="366">
        <f>SUM(CD17:CE17)</f>
        <v>0</v>
      </c>
      <c r="CG17" s="366">
        <v>0</v>
      </c>
      <c r="CH17" s="366">
        <f>SUM(CF17:CG17)</f>
        <v>0</v>
      </c>
      <c r="CI17" s="366"/>
      <c r="CJ17" s="366"/>
      <c r="CK17" s="366">
        <f>CL17-CJ17</f>
        <v>0</v>
      </c>
      <c r="CL17" s="366"/>
      <c r="CM17" s="345">
        <f>ROW()</f>
        <v>17</v>
      </c>
      <c r="CN17" s="1005" t="s">
        <v>126</v>
      </c>
      <c r="CO17" s="1008"/>
      <c r="CP17" s="329"/>
      <c r="CQ17" s="1009"/>
      <c r="CR17" s="329"/>
      <c r="CS17" s="329"/>
      <c r="CT17" s="329"/>
      <c r="CU17" s="329"/>
      <c r="CV17" s="329"/>
      <c r="CW17" s="329"/>
      <c r="CX17" s="329"/>
      <c r="CY17" s="329"/>
      <c r="CZ17" s="329"/>
    </row>
    <row r="18" spans="1:104" s="1" customFormat="1" ht="15.5" x14ac:dyDescent="0.35">
      <c r="A18" s="111">
        <f>ROW()</f>
        <v>18</v>
      </c>
      <c r="B18" s="686"/>
      <c r="C18" s="686"/>
      <c r="D18" s="212"/>
      <c r="E18" s="212"/>
      <c r="F18" s="212"/>
      <c r="G18" s="212"/>
      <c r="H18" s="212"/>
      <c r="I18" s="212"/>
      <c r="J18" s="212"/>
      <c r="K18" s="212"/>
      <c r="L18" s="212"/>
      <c r="M18" s="212"/>
      <c r="N18" s="212"/>
      <c r="O18" s="212"/>
      <c r="P18" s="212"/>
      <c r="Q18" s="212"/>
      <c r="R18" s="212"/>
      <c r="S18" s="111">
        <f>ROW()</f>
        <v>18</v>
      </c>
      <c r="T18" s="112"/>
      <c r="U18" s="172"/>
      <c r="V18" s="212"/>
      <c r="W18" s="212"/>
      <c r="X18" s="212"/>
      <c r="Y18" s="212"/>
      <c r="Z18" s="212"/>
      <c r="AA18" s="212"/>
      <c r="AB18" s="212"/>
      <c r="AC18" s="212"/>
      <c r="AD18" s="212"/>
      <c r="AE18" s="212"/>
      <c r="AF18" s="212"/>
      <c r="AG18" s="212"/>
      <c r="AH18" s="212"/>
      <c r="AI18" s="212"/>
      <c r="AJ18" s="212"/>
      <c r="AK18" s="111">
        <v>2</v>
      </c>
      <c r="AL18" s="111"/>
      <c r="AM18" s="111"/>
      <c r="AN18" s="111"/>
      <c r="AO18" s="111"/>
      <c r="AP18" s="111"/>
      <c r="AQ18" s="111"/>
      <c r="AR18" s="111"/>
      <c r="AS18" s="111"/>
      <c r="AT18" s="111"/>
      <c r="AU18" s="111"/>
      <c r="AV18" s="111"/>
      <c r="AW18" s="111"/>
      <c r="AX18" s="111"/>
      <c r="AY18" s="111"/>
      <c r="AZ18" s="111"/>
      <c r="BA18" s="111"/>
      <c r="BB18" s="111"/>
      <c r="BC18" s="111">
        <f>ROW()</f>
        <v>18</v>
      </c>
      <c r="BD18" s="247" t="s">
        <v>218</v>
      </c>
      <c r="BE18"/>
      <c r="BF18" s="118"/>
      <c r="BG18" s="118"/>
      <c r="BH18" s="118"/>
      <c r="BI18" s="118"/>
      <c r="BJ18" s="118"/>
      <c r="BK18" s="118"/>
      <c r="BL18" s="118"/>
      <c r="BM18" s="118"/>
      <c r="BN18" s="118"/>
      <c r="BO18" s="118"/>
      <c r="BP18" s="118"/>
      <c r="BQ18" s="118"/>
      <c r="BR18" s="118"/>
      <c r="BS18" s="118"/>
      <c r="BT18" s="118"/>
      <c r="BU18" s="345">
        <f>ROW()</f>
        <v>18</v>
      </c>
      <c r="BV18" s="232" t="s">
        <v>1117</v>
      </c>
      <c r="BX18" s="270"/>
      <c r="BY18" s="270"/>
      <c r="BZ18" s="366">
        <v>5283046.9499999993</v>
      </c>
      <c r="CA18" s="366">
        <v>-1938812.2980983895</v>
      </c>
      <c r="CB18" s="366">
        <f>SUM(BZ18:CA18)</f>
        <v>3344234.6519016097</v>
      </c>
      <c r="CC18" s="366">
        <v>-1658740.3896547817</v>
      </c>
      <c r="CD18" s="366">
        <f>SUM(CB18:CC18)</f>
        <v>1685494.2622468281</v>
      </c>
      <c r="CE18" s="366">
        <v>-1658740.3896547828</v>
      </c>
      <c r="CF18" s="366">
        <f>SUM(CD18:CE18)</f>
        <v>26753.872592045227</v>
      </c>
      <c r="CG18" s="366">
        <v>-26753.87259204502</v>
      </c>
      <c r="CH18" s="366">
        <f t="shared" ref="CH18:CH19" si="0">SUM(CF18:CG18)</f>
        <v>2.0736479200422764E-10</v>
      </c>
      <c r="CM18" s="345">
        <f>ROW()</f>
        <v>18</v>
      </c>
      <c r="CN18" s="1004" t="s">
        <v>837</v>
      </c>
      <c r="CO18" s="1010"/>
      <c r="CP18" s="1011"/>
      <c r="CQ18" s="1012">
        <v>-30085058.84</v>
      </c>
      <c r="CR18" s="1012">
        <f>CP18+CQ18</f>
        <v>-30085058.84</v>
      </c>
      <c r="CS18" s="1012">
        <f>CT18-CR18</f>
        <v>0</v>
      </c>
      <c r="CT18" s="1012">
        <v>-30085058.84</v>
      </c>
      <c r="CU18" s="1012">
        <f>CV18-CT18</f>
        <v>0</v>
      </c>
      <c r="CV18" s="1012">
        <v>-30085058.84</v>
      </c>
      <c r="CW18" s="1012">
        <f>CX18-CV18</f>
        <v>0</v>
      </c>
      <c r="CX18" s="1012">
        <v>-30085058.840000004</v>
      </c>
      <c r="CY18" s="1012">
        <f>CZ18-CX18</f>
        <v>0</v>
      </c>
      <c r="CZ18" s="1012">
        <v>-30085058.840000004</v>
      </c>
    </row>
    <row r="19" spans="1:104" s="1" customFormat="1" ht="15.5" x14ac:dyDescent="0.35">
      <c r="A19" s="111">
        <f>ROW()</f>
        <v>19</v>
      </c>
      <c r="B19" s="686"/>
      <c r="D19" s="214"/>
      <c r="E19" s="214"/>
      <c r="F19" s="214"/>
      <c r="G19" s="214"/>
      <c r="H19" s="214"/>
      <c r="I19" s="214"/>
      <c r="J19" s="214"/>
      <c r="K19" s="214"/>
      <c r="L19" s="214"/>
      <c r="M19" s="214"/>
      <c r="N19" s="214"/>
      <c r="O19" s="214"/>
      <c r="P19" s="214"/>
      <c r="Q19" s="214"/>
      <c r="R19" s="214"/>
      <c r="S19" s="111">
        <f>ROW()</f>
        <v>19</v>
      </c>
      <c r="T19" s="112"/>
      <c r="U19" s="112"/>
      <c r="V19" s="134"/>
      <c r="W19" s="134"/>
      <c r="X19" s="134"/>
      <c r="Y19" s="134"/>
      <c r="Z19" s="134"/>
      <c r="AA19" s="134"/>
      <c r="AB19" s="134"/>
      <c r="AC19" s="134"/>
      <c r="AD19" s="134"/>
      <c r="AE19" s="134"/>
      <c r="AF19" s="134"/>
      <c r="AG19" s="134"/>
      <c r="AH19" s="134"/>
      <c r="AI19" s="134"/>
      <c r="AJ19" s="134"/>
      <c r="AK19" s="111">
        <v>3</v>
      </c>
      <c r="AL19" s="213"/>
      <c r="AM19" s="213"/>
      <c r="AN19" s="114"/>
      <c r="AO19" s="114"/>
      <c r="AP19" s="692"/>
      <c r="AQ19" s="114"/>
      <c r="AR19" s="113"/>
      <c r="AS19" s="113"/>
      <c r="AT19" s="113"/>
      <c r="AU19" s="113"/>
      <c r="AV19" s="113"/>
      <c r="AW19" s="113"/>
      <c r="AX19" s="113"/>
      <c r="AY19" s="113"/>
      <c r="AZ19" s="113"/>
      <c r="BA19" s="113"/>
      <c r="BB19" s="113"/>
      <c r="BC19" s="111">
        <f>ROW()</f>
        <v>19</v>
      </c>
      <c r="BD19" s="248" t="s">
        <v>219</v>
      </c>
      <c r="BE19"/>
      <c r="BF19" s="270"/>
      <c r="BG19" s="270"/>
      <c r="BH19" s="245">
        <v>243110912.17458329</v>
      </c>
      <c r="BI19" s="245">
        <f>-BH19</f>
        <v>-243110912.17458329</v>
      </c>
      <c r="BJ19" s="245">
        <f>BH19+BI19</f>
        <v>0</v>
      </c>
      <c r="BK19" s="245"/>
      <c r="BL19" s="245">
        <f>BJ19+BK19</f>
        <v>0</v>
      </c>
      <c r="BM19" s="245"/>
      <c r="BN19" s="245">
        <f>BL19+BM19</f>
        <v>0</v>
      </c>
      <c r="BO19" s="245"/>
      <c r="BP19" s="245">
        <f>BN19+BO19</f>
        <v>0</v>
      </c>
      <c r="BQ19" s="245"/>
      <c r="BR19" s="245"/>
      <c r="BS19" s="245"/>
      <c r="BT19" s="245"/>
      <c r="BU19" s="345">
        <f>ROW()</f>
        <v>19</v>
      </c>
      <c r="BV19" s="232" t="s">
        <v>1843</v>
      </c>
      <c r="BW19" s="366"/>
      <c r="BX19" s="270"/>
      <c r="BY19" s="270"/>
      <c r="BZ19" s="366">
        <v>4058639.94</v>
      </c>
      <c r="CA19" s="366">
        <v>-1108460.0364580778</v>
      </c>
      <c r="CB19" s="366">
        <f>SUM(BZ19:CA19)</f>
        <v>2950179.9035419221</v>
      </c>
      <c r="CC19" s="366">
        <v>-1463289.1713519664</v>
      </c>
      <c r="CD19" s="366">
        <f>SUM(CB19:CC19)</f>
        <v>1486890.7321899557</v>
      </c>
      <c r="CE19" s="366">
        <v>-731644.58567598346</v>
      </c>
      <c r="CF19" s="366">
        <f t="shared" ref="CF19:CF21" si="1">SUM(CD19:CE19)</f>
        <v>755246.1465139722</v>
      </c>
      <c r="CG19" s="366">
        <v>-755246.1465139722</v>
      </c>
      <c r="CH19" s="366">
        <f t="shared" si="0"/>
        <v>0</v>
      </c>
      <c r="CI19" s="366"/>
      <c r="CJ19" s="366"/>
      <c r="CK19" s="366">
        <f t="shared" ref="CK19" si="2">CL19-CJ19</f>
        <v>0</v>
      </c>
      <c r="CL19" s="366"/>
      <c r="CM19" s="345">
        <f>ROW()</f>
        <v>19</v>
      </c>
      <c r="CN19" s="1004" t="s">
        <v>1752</v>
      </c>
      <c r="CO19" s="1010"/>
      <c r="CP19" s="1013"/>
      <c r="CQ19" s="1013">
        <v>4064631.3855987983</v>
      </c>
      <c r="CR19" s="1013">
        <f t="shared" ref="CR19:CR21" si="3">CP19+CQ19</f>
        <v>4064631.3855987983</v>
      </c>
      <c r="CS19" s="1013">
        <f>CT19-CR19</f>
        <v>343654.17358200159</v>
      </c>
      <c r="CT19" s="1013">
        <v>4408285.5591807999</v>
      </c>
      <c r="CU19" s="1013">
        <f>CV19-CT19</f>
        <v>687308.34716399759</v>
      </c>
      <c r="CV19" s="1013">
        <v>5095593.9063447975</v>
      </c>
      <c r="CW19" s="1013">
        <f>CX19-CV19</f>
        <v>474005.37201899756</v>
      </c>
      <c r="CX19" s="1013">
        <v>5569599.278363795</v>
      </c>
      <c r="CY19" s="1013">
        <f>CZ19-CX19</f>
        <v>948010.74403799605</v>
      </c>
      <c r="CZ19" s="1013">
        <v>6517610.0224017911</v>
      </c>
    </row>
    <row r="20" spans="1:104" s="1" customFormat="1" ht="15.5" x14ac:dyDescent="0.35">
      <c r="A20" s="111">
        <f>ROW()</f>
        <v>20</v>
      </c>
      <c r="B20" s="686"/>
      <c r="C20" s="686"/>
      <c r="D20" s="214"/>
      <c r="E20" s="214"/>
      <c r="F20" s="214"/>
      <c r="G20" s="214"/>
      <c r="H20" s="214"/>
      <c r="I20" s="214"/>
      <c r="J20" s="214"/>
      <c r="K20" s="214"/>
      <c r="L20" s="214"/>
      <c r="M20" s="214"/>
      <c r="N20" s="214"/>
      <c r="O20" s="214"/>
      <c r="P20" s="214"/>
      <c r="Q20" s="214"/>
      <c r="R20" s="214"/>
      <c r="S20" s="111">
        <f>ROW()</f>
        <v>20</v>
      </c>
      <c r="T20" s="112"/>
      <c r="U20" s="691"/>
      <c r="V20" s="134"/>
      <c r="W20" s="134"/>
      <c r="X20" s="134"/>
      <c r="Y20" s="134"/>
      <c r="Z20" s="134"/>
      <c r="AA20" s="134"/>
      <c r="AB20" s="134"/>
      <c r="AC20" s="134"/>
      <c r="AD20" s="134"/>
      <c r="AE20" s="134"/>
      <c r="AF20" s="134"/>
      <c r="AG20" s="134"/>
      <c r="AH20" s="134"/>
      <c r="AI20" s="134"/>
      <c r="AJ20" s="134"/>
      <c r="AK20" s="111">
        <v>4</v>
      </c>
      <c r="AL20" s="213"/>
      <c r="AN20" s="121"/>
      <c r="AO20" s="121"/>
      <c r="AP20" s="121"/>
      <c r="AQ20" s="121"/>
      <c r="AR20" s="191"/>
      <c r="AS20" s="191"/>
      <c r="AT20" s="191"/>
      <c r="AU20" s="191"/>
      <c r="AV20" s="191"/>
      <c r="AW20" s="191"/>
      <c r="AX20" s="191"/>
      <c r="AY20" s="191"/>
      <c r="AZ20" s="191"/>
      <c r="BA20" s="191"/>
      <c r="BB20" s="191"/>
      <c r="BC20" s="111">
        <f>ROW()</f>
        <v>20</v>
      </c>
      <c r="BD20" s="248" t="s">
        <v>235</v>
      </c>
      <c r="BE20"/>
      <c r="BF20" s="270"/>
      <c r="BG20" s="270"/>
      <c r="BH20" s="118">
        <v>-8669863.8600160964</v>
      </c>
      <c r="BI20" s="118">
        <f t="shared" ref="BI20:BI21" si="4">-BH20</f>
        <v>8669863.8600160964</v>
      </c>
      <c r="BJ20" s="118">
        <f>BH20+BI20</f>
        <v>0</v>
      </c>
      <c r="BK20" s="118"/>
      <c r="BL20" s="118">
        <f>BJ20+BK20</f>
        <v>0</v>
      </c>
      <c r="BM20" s="676"/>
      <c r="BN20" s="118">
        <f>BL20+BM20</f>
        <v>0</v>
      </c>
      <c r="BO20" s="676"/>
      <c r="BP20" s="118">
        <f>BN20+BO20</f>
        <v>0</v>
      </c>
      <c r="BQ20" s="118"/>
      <c r="BR20" s="118"/>
      <c r="BS20" s="118"/>
      <c r="BT20" s="118"/>
      <c r="BU20" s="345">
        <f>ROW()</f>
        <v>20</v>
      </c>
      <c r="BV20" s="232" t="s">
        <v>1844</v>
      </c>
      <c r="BW20" s="366"/>
      <c r="BX20" s="270"/>
      <c r="BY20" s="270"/>
      <c r="BZ20" s="366">
        <v>12255554.91</v>
      </c>
      <c r="CA20" s="366">
        <v>-1680423.4394122437</v>
      </c>
      <c r="CB20" s="366">
        <f t="shared" ref="CB20:CB21" si="5">SUM(BZ20:CA20)</f>
        <v>10575131.470587756</v>
      </c>
      <c r="CC20" s="366">
        <v>-4072745.7299415851</v>
      </c>
      <c r="CD20" s="366">
        <f t="shared" ref="CD20:CD21" si="6">SUM(CB20:CC20)</f>
        <v>6502385.7406461714</v>
      </c>
      <c r="CE20" s="366">
        <v>-2041472.4174067508</v>
      </c>
      <c r="CF20" s="366">
        <f t="shared" si="1"/>
        <v>4460913.3232394205</v>
      </c>
      <c r="CG20" s="366">
        <v>-3178256.2344094831</v>
      </c>
      <c r="CH20" s="366">
        <f t="shared" ref="CH20:CH21" si="7">SUM(CF20:CG20)</f>
        <v>1282657.0888299374</v>
      </c>
      <c r="CI20" s="366"/>
      <c r="CJ20" s="366"/>
      <c r="CK20" s="366">
        <f t="shared" ref="CK20" si="8">CL20-CJ20</f>
        <v>0</v>
      </c>
      <c r="CL20" s="366"/>
      <c r="CM20" s="345">
        <f>ROW()</f>
        <v>20</v>
      </c>
      <c r="CN20" s="1004" t="s">
        <v>1753</v>
      </c>
      <c r="CO20" s="1010"/>
      <c r="CP20" s="1013"/>
      <c r="CQ20" s="1013">
        <v>362330.08114927221</v>
      </c>
      <c r="CR20" s="1013">
        <f t="shared" si="3"/>
        <v>362330.08114927221</v>
      </c>
      <c r="CS20" s="1013">
        <f>CT20-CR20</f>
        <v>74624.310999999871</v>
      </c>
      <c r="CT20" s="1013">
        <v>436954.39214927208</v>
      </c>
      <c r="CU20" s="1013">
        <f>CV20-CT20</f>
        <v>149248.62200000003</v>
      </c>
      <c r="CV20" s="1013">
        <v>586203.01414927212</v>
      </c>
      <c r="CW20" s="1013">
        <f>CX20-CV20</f>
        <v>74624.311000000336</v>
      </c>
      <c r="CX20" s="1013">
        <v>660827.32514927245</v>
      </c>
      <c r="CY20" s="1013">
        <f>CZ20-CX20</f>
        <v>149248.62200000021</v>
      </c>
      <c r="CZ20" s="1013">
        <v>810075.94714927266</v>
      </c>
    </row>
    <row r="21" spans="1:104" s="1" customFormat="1" ht="15.5" x14ac:dyDescent="0.35">
      <c r="A21" s="111">
        <f>ROW()</f>
        <v>21</v>
      </c>
      <c r="B21" s="686"/>
      <c r="C21" s="686"/>
      <c r="D21" s="214"/>
      <c r="E21" s="214"/>
      <c r="F21" s="214"/>
      <c r="G21" s="214"/>
      <c r="H21" s="214"/>
      <c r="I21" s="214"/>
      <c r="J21" s="214"/>
      <c r="K21" s="214"/>
      <c r="L21" s="214"/>
      <c r="M21" s="214"/>
      <c r="N21" s="214"/>
      <c r="O21" s="214"/>
      <c r="P21" s="214"/>
      <c r="Q21" s="214"/>
      <c r="R21" s="214"/>
      <c r="S21" s="111">
        <f>ROW()</f>
        <v>21</v>
      </c>
      <c r="U21"/>
      <c r="V21" s="134"/>
      <c r="W21" s="134"/>
      <c r="X21" s="134"/>
      <c r="Y21" s="134"/>
      <c r="Z21" s="134"/>
      <c r="AA21" s="134"/>
      <c r="AB21" s="134"/>
      <c r="AC21" s="134"/>
      <c r="AD21" s="134"/>
      <c r="AE21" s="134"/>
      <c r="AF21" s="134"/>
      <c r="AG21" s="134"/>
      <c r="AH21" s="134"/>
      <c r="AI21" s="134"/>
      <c r="AJ21" s="134"/>
      <c r="AK21" s="111">
        <v>5</v>
      </c>
      <c r="AL21" s="213"/>
      <c r="AN21" s="121"/>
      <c r="AO21" s="121"/>
      <c r="AP21" s="121"/>
      <c r="AQ21" s="121"/>
      <c r="AR21" s="191"/>
      <c r="AS21" s="191"/>
      <c r="AT21" s="191"/>
      <c r="AU21" s="191"/>
      <c r="AV21" s="191"/>
      <c r="AW21" s="191"/>
      <c r="AX21" s="191"/>
      <c r="AY21" s="191"/>
      <c r="AZ21" s="191"/>
      <c r="BA21" s="191"/>
      <c r="BB21" s="191"/>
      <c r="BC21" s="111">
        <f>ROW()</f>
        <v>21</v>
      </c>
      <c r="BD21" s="248" t="s">
        <v>243</v>
      </c>
      <c r="BE21" s="322"/>
      <c r="BF21" s="270"/>
      <c r="BG21" s="270"/>
      <c r="BH21" s="118">
        <v>-1991160.0561322786</v>
      </c>
      <c r="BI21" s="118">
        <f t="shared" si="4"/>
        <v>1991160.0561322786</v>
      </c>
      <c r="BJ21" s="118">
        <f>BH21+BI21</f>
        <v>0</v>
      </c>
      <c r="BK21" s="118"/>
      <c r="BL21" s="118">
        <f>BJ21+BK21</f>
        <v>0</v>
      </c>
      <c r="BM21" s="676"/>
      <c r="BN21" s="118">
        <f>BL21+BM21</f>
        <v>0</v>
      </c>
      <c r="BO21" s="676"/>
      <c r="BP21" s="118">
        <f>BN21+BO21</f>
        <v>0</v>
      </c>
      <c r="BQ21" s="118"/>
      <c r="BR21" s="118"/>
      <c r="BS21" s="118"/>
      <c r="BT21" s="118"/>
      <c r="BU21" s="345">
        <f>ROW()</f>
        <v>21</v>
      </c>
      <c r="BV21" s="232" t="s">
        <v>1845</v>
      </c>
      <c r="BW21" s="366"/>
      <c r="BX21" s="270"/>
      <c r="BY21" s="270"/>
      <c r="BZ21" s="366">
        <v>0</v>
      </c>
      <c r="CA21" s="366">
        <v>29431496.874688182</v>
      </c>
      <c r="CB21" s="366">
        <f t="shared" si="5"/>
        <v>29431496.874688182</v>
      </c>
      <c r="CC21" s="366">
        <v>-1477732.0606537983</v>
      </c>
      <c r="CD21" s="366">
        <f t="shared" si="6"/>
        <v>27953764.814034384</v>
      </c>
      <c r="CE21" s="366">
        <v>-738866.03032688424</v>
      </c>
      <c r="CF21" s="366">
        <f t="shared" si="1"/>
        <v>27214898.7837075</v>
      </c>
      <c r="CG21" s="366">
        <v>-1477732.0606537983</v>
      </c>
      <c r="CH21" s="366">
        <f t="shared" si="7"/>
        <v>25737166.723053701</v>
      </c>
      <c r="CI21" s="366"/>
      <c r="CJ21" s="366"/>
      <c r="CK21" s="366">
        <f t="shared" ref="CK21" si="9">CL21-CJ21</f>
        <v>0</v>
      </c>
      <c r="CL21" s="366"/>
      <c r="CM21" s="345">
        <f>ROW()</f>
        <v>21</v>
      </c>
      <c r="CN21" s="1004" t="s">
        <v>72</v>
      </c>
      <c r="CO21" s="1010"/>
      <c r="CP21" s="1013"/>
      <c r="CQ21" s="1013">
        <v>1440049.9416229667</v>
      </c>
      <c r="CR21" s="1013">
        <f t="shared" si="3"/>
        <v>1440049.9416229667</v>
      </c>
      <c r="CS21" s="1013">
        <f>CT21-CR21</f>
        <v>70126.434854447376</v>
      </c>
      <c r="CT21" s="1013">
        <v>1510176.376477414</v>
      </c>
      <c r="CU21" s="1013">
        <f>CV21-CT21</f>
        <v>116588.72802074533</v>
      </c>
      <c r="CV21" s="1013">
        <v>1626765.1044981594</v>
      </c>
      <c r="CW21" s="1013">
        <f>CX21-CV21</f>
        <v>28009.93888345873</v>
      </c>
      <c r="CX21" s="1013">
        <v>1654775.0433816181</v>
      </c>
      <c r="CY21" s="1013">
        <f>CZ21-CX21</f>
        <v>54930.069817058044</v>
      </c>
      <c r="CZ21" s="1013">
        <v>1709705.1131986761</v>
      </c>
    </row>
    <row r="22" spans="1:104" s="1" customFormat="1" ht="16" thickBot="1" x14ac:dyDescent="0.4">
      <c r="A22" s="111">
        <f>ROW()</f>
        <v>22</v>
      </c>
      <c r="D22" s="214"/>
      <c r="E22" s="214"/>
      <c r="F22" s="214"/>
      <c r="G22" s="214"/>
      <c r="H22" s="214"/>
      <c r="I22" s="214"/>
      <c r="J22" s="214"/>
      <c r="K22" s="214"/>
      <c r="L22" s="214"/>
      <c r="M22" s="214"/>
      <c r="N22" s="214"/>
      <c r="O22" s="214"/>
      <c r="P22" s="214"/>
      <c r="Q22" s="214"/>
      <c r="R22" s="214"/>
      <c r="S22" s="111">
        <f>ROW()</f>
        <v>22</v>
      </c>
      <c r="AK22" s="111">
        <v>12</v>
      </c>
      <c r="AN22" s="121"/>
      <c r="AO22" s="121"/>
      <c r="AP22" s="121"/>
      <c r="AQ22" s="121"/>
      <c r="AR22" s="121"/>
      <c r="AS22" s="121"/>
      <c r="AT22" s="121"/>
      <c r="AU22" s="121"/>
      <c r="AV22" s="121"/>
      <c r="AW22" s="121"/>
      <c r="AX22" s="121"/>
      <c r="AY22" s="121"/>
      <c r="AZ22" s="121"/>
      <c r="BA22" s="121"/>
      <c r="BB22" s="121"/>
      <c r="BC22" s="111">
        <f>ROW()</f>
        <v>22</v>
      </c>
      <c r="BD22" s="232" t="s">
        <v>245</v>
      </c>
      <c r="BE22"/>
      <c r="BF22" s="440">
        <f t="shared" ref="BF22:BP22" si="10">SUM(BF19:BF21)</f>
        <v>0</v>
      </c>
      <c r="BG22" s="440">
        <f t="shared" si="10"/>
        <v>0</v>
      </c>
      <c r="BH22" s="440">
        <f t="shared" si="10"/>
        <v>232449888.25843489</v>
      </c>
      <c r="BI22" s="440">
        <f t="shared" si="10"/>
        <v>-232449888.25843489</v>
      </c>
      <c r="BJ22" s="440">
        <f t="shared" si="10"/>
        <v>0</v>
      </c>
      <c r="BK22" s="440">
        <f t="shared" si="10"/>
        <v>0</v>
      </c>
      <c r="BL22" s="440">
        <f t="shared" si="10"/>
        <v>0</v>
      </c>
      <c r="BM22" s="683">
        <f t="shared" si="10"/>
        <v>0</v>
      </c>
      <c r="BN22" s="440">
        <f t="shared" si="10"/>
        <v>0</v>
      </c>
      <c r="BO22" s="683">
        <f t="shared" si="10"/>
        <v>0</v>
      </c>
      <c r="BP22" s="440">
        <f t="shared" si="10"/>
        <v>0</v>
      </c>
      <c r="BQ22" s="440"/>
      <c r="BR22" s="440"/>
      <c r="BS22" s="440"/>
      <c r="BT22" s="440"/>
      <c r="BU22" s="345">
        <f>ROW()</f>
        <v>22</v>
      </c>
      <c r="BV22" s="690" t="s">
        <v>295</v>
      </c>
      <c r="BW22" s="690"/>
      <c r="BX22" s="321">
        <f t="shared" ref="BX22:CL22" si="11">SUM(BX17:BX21)</f>
        <v>0</v>
      </c>
      <c r="BY22" s="321">
        <f t="shared" si="11"/>
        <v>0</v>
      </c>
      <c r="BZ22" s="321">
        <f t="shared" si="11"/>
        <v>21581443.490000002</v>
      </c>
      <c r="CA22" s="321">
        <f t="shared" si="11"/>
        <v>24719599.411719471</v>
      </c>
      <c r="CB22" s="321">
        <f t="shared" si="11"/>
        <v>46301042.901719466</v>
      </c>
      <c r="CC22" s="321">
        <f t="shared" si="11"/>
        <v>-8672507.3526021317</v>
      </c>
      <c r="CD22" s="321">
        <f t="shared" si="11"/>
        <v>37628535.549117342</v>
      </c>
      <c r="CE22" s="321">
        <f t="shared" si="11"/>
        <v>-5170723.4230644014</v>
      </c>
      <c r="CF22" s="321">
        <f t="shared" si="11"/>
        <v>32457812.126052938</v>
      </c>
      <c r="CG22" s="321">
        <f t="shared" si="11"/>
        <v>-5437988.3141692989</v>
      </c>
      <c r="CH22" s="321">
        <f t="shared" si="11"/>
        <v>27019823.81188364</v>
      </c>
      <c r="CI22" s="321">
        <f t="shared" si="11"/>
        <v>0</v>
      </c>
      <c r="CJ22" s="321">
        <f t="shared" si="11"/>
        <v>0</v>
      </c>
      <c r="CK22" s="321">
        <f t="shared" si="11"/>
        <v>0</v>
      </c>
      <c r="CL22" s="321">
        <f t="shared" si="11"/>
        <v>0</v>
      </c>
      <c r="CM22" s="345">
        <f>ROW()</f>
        <v>22</v>
      </c>
      <c r="CN22" s="1006" t="s">
        <v>1754</v>
      </c>
      <c r="CO22" s="1014"/>
      <c r="CP22" s="1015">
        <f>SUM(CP18:CP21)</f>
        <v>0</v>
      </c>
      <c r="CQ22" s="1015">
        <f t="shared" ref="CQ22:CZ22" si="12">SUM(CQ18:CQ21)</f>
        <v>-24218047.431628965</v>
      </c>
      <c r="CR22" s="1015">
        <f t="shared" si="12"/>
        <v>-24218047.431628965</v>
      </c>
      <c r="CS22" s="1015">
        <f t="shared" si="12"/>
        <v>488404.91943644884</v>
      </c>
      <c r="CT22" s="1015">
        <f t="shared" si="12"/>
        <v>-23729642.512192514</v>
      </c>
      <c r="CU22" s="1015">
        <f t="shared" si="12"/>
        <v>953145.69718474289</v>
      </c>
      <c r="CV22" s="1015">
        <f t="shared" si="12"/>
        <v>-22776496.815007772</v>
      </c>
      <c r="CW22" s="1015">
        <f t="shared" si="12"/>
        <v>576639.62190245662</v>
      </c>
      <c r="CX22" s="1015">
        <f t="shared" si="12"/>
        <v>-22199857.193105321</v>
      </c>
      <c r="CY22" s="1015">
        <f t="shared" si="12"/>
        <v>1152189.4358550543</v>
      </c>
      <c r="CZ22" s="1015">
        <f t="shared" si="12"/>
        <v>-21047667.757250264</v>
      </c>
    </row>
    <row r="23" spans="1:104" s="1" customFormat="1" ht="16" thickTop="1" x14ac:dyDescent="0.35">
      <c r="A23" s="111">
        <f>ROW()</f>
        <v>23</v>
      </c>
      <c r="B23" s="686"/>
      <c r="C23" s="686"/>
      <c r="D23" s="214"/>
      <c r="E23" s="214"/>
      <c r="F23" s="214"/>
      <c r="G23" s="214"/>
      <c r="H23" s="214"/>
      <c r="I23" s="214"/>
      <c r="J23" s="214"/>
      <c r="K23" s="214"/>
      <c r="L23" s="214"/>
      <c r="M23" s="214"/>
      <c r="N23" s="214"/>
      <c r="O23" s="214"/>
      <c r="P23" s="214"/>
      <c r="Q23" s="214"/>
      <c r="R23" s="214"/>
      <c r="S23" s="111">
        <f>ROW()</f>
        <v>23</v>
      </c>
      <c r="U23" s="186"/>
      <c r="V23" s="134"/>
      <c r="W23" s="134"/>
      <c r="X23" s="134"/>
      <c r="Y23" s="134"/>
      <c r="Z23" s="134"/>
      <c r="AA23" s="134"/>
      <c r="AB23" s="134"/>
      <c r="AC23" s="134"/>
      <c r="AD23" s="134"/>
      <c r="AE23" s="134"/>
      <c r="AF23" s="134"/>
      <c r="AG23" s="134"/>
      <c r="AH23" s="134"/>
      <c r="AI23" s="134"/>
      <c r="AJ23" s="134"/>
      <c r="AK23" s="111">
        <v>13</v>
      </c>
      <c r="AN23" s="114"/>
      <c r="AO23" s="114"/>
      <c r="AP23" s="121"/>
      <c r="AQ23" s="114"/>
      <c r="AR23" s="121"/>
      <c r="AS23" s="121"/>
      <c r="AT23" s="121"/>
      <c r="AU23" s="121"/>
      <c r="AV23" s="121"/>
      <c r="AW23" s="121"/>
      <c r="AX23" s="121"/>
      <c r="AY23" s="121"/>
      <c r="AZ23" s="121"/>
      <c r="BA23" s="121"/>
      <c r="BB23" s="121"/>
      <c r="BC23" s="111">
        <f>ROW()</f>
        <v>23</v>
      </c>
      <c r="BD23"/>
      <c r="BE23"/>
      <c r="BF23"/>
      <c r="BG23"/>
      <c r="BH23"/>
      <c r="BI23"/>
      <c r="BJ23"/>
      <c r="BK23"/>
      <c r="BL23"/>
      <c r="BM23"/>
      <c r="BN23"/>
      <c r="BO23"/>
      <c r="BP23"/>
      <c r="BQ23"/>
      <c r="BR23"/>
      <c r="BS23"/>
      <c r="BT23"/>
      <c r="BU23" s="345">
        <f>ROW()</f>
        <v>23</v>
      </c>
      <c r="BV23" s="232"/>
      <c r="BW23" s="232"/>
      <c r="BX23" s="689">
        <v>0</v>
      </c>
      <c r="BY23" s="688"/>
      <c r="BZ23" s="687"/>
      <c r="CA23" s="234"/>
      <c r="CB23" s="687">
        <v>0</v>
      </c>
      <c r="CC23" s="234"/>
      <c r="CD23" s="687">
        <v>0</v>
      </c>
      <c r="CE23" s="234"/>
      <c r="CF23" s="687">
        <v>0</v>
      </c>
      <c r="CG23" s="234"/>
      <c r="CH23" s="687">
        <v>0</v>
      </c>
      <c r="CI23" s="687"/>
      <c r="CJ23" s="687"/>
      <c r="CK23"/>
      <c r="CL23" s="687"/>
      <c r="CM23" s="345">
        <f>ROW()</f>
        <v>23</v>
      </c>
      <c r="CN23" t="s">
        <v>80</v>
      </c>
      <c r="CO23" s="1014"/>
      <c r="CP23" s="1016"/>
      <c r="CQ23" s="1016"/>
      <c r="CR23" s="1016"/>
      <c r="CS23" s="1016"/>
      <c r="CT23" s="1016"/>
      <c r="CU23" s="1016"/>
      <c r="CV23" s="1016"/>
      <c r="CW23" s="1016"/>
      <c r="CX23" s="1016"/>
      <c r="CY23" s="1016"/>
      <c r="CZ23" s="1016"/>
    </row>
    <row r="24" spans="1:104" ht="15.5" x14ac:dyDescent="0.35">
      <c r="A24" s="111">
        <f>ROW()</f>
        <v>24</v>
      </c>
      <c r="B24" s="686"/>
      <c r="C24" s="686"/>
      <c r="D24" s="214"/>
      <c r="E24" s="214"/>
      <c r="F24" s="214"/>
      <c r="G24" s="214"/>
      <c r="H24" s="214"/>
      <c r="I24" s="214"/>
      <c r="J24" s="214"/>
      <c r="K24" s="214"/>
      <c r="L24" s="214"/>
      <c r="M24" s="214"/>
      <c r="N24" s="214"/>
      <c r="O24" s="214"/>
      <c r="P24" s="214"/>
      <c r="Q24" s="214"/>
      <c r="R24" s="214"/>
      <c r="S24" s="111">
        <f>ROW()</f>
        <v>24</v>
      </c>
      <c r="V24" s="178"/>
      <c r="W24" s="178"/>
      <c r="X24" s="178"/>
      <c r="Y24" s="178"/>
      <c r="Z24" s="178"/>
      <c r="AA24" s="178"/>
      <c r="AB24" s="178"/>
      <c r="AC24" s="178"/>
      <c r="AD24" s="178"/>
      <c r="AE24" s="178"/>
      <c r="AF24" s="178"/>
      <c r="AG24" s="178"/>
      <c r="AH24" s="178"/>
      <c r="AI24" s="178"/>
      <c r="AJ24" s="178"/>
      <c r="AK24" s="111">
        <v>14</v>
      </c>
      <c r="AN24" s="121"/>
      <c r="AO24" s="121"/>
      <c r="AP24" s="121"/>
      <c r="AQ24" s="121"/>
      <c r="AR24" s="121"/>
      <c r="AS24" s="121"/>
      <c r="AT24" s="121"/>
      <c r="AU24" s="121"/>
      <c r="AV24" s="121"/>
      <c r="AW24" s="121"/>
      <c r="AX24" s="121"/>
      <c r="AY24" s="121"/>
      <c r="AZ24" s="121"/>
      <c r="BA24" s="121"/>
      <c r="BB24" s="121"/>
      <c r="BC24" s="111">
        <f>ROW()</f>
        <v>24</v>
      </c>
      <c r="BD24" s="247" t="s">
        <v>258</v>
      </c>
      <c r="BE24"/>
      <c r="BF24"/>
      <c r="BG24"/>
      <c r="BH24"/>
      <c r="BI24"/>
      <c r="BJ24"/>
      <c r="BK24"/>
      <c r="BL24"/>
      <c r="BM24"/>
      <c r="BN24"/>
      <c r="BO24"/>
      <c r="BP24"/>
      <c r="BQ24"/>
      <c r="BR24"/>
      <c r="BS24"/>
      <c r="BT24"/>
      <c r="BU24" s="345">
        <f>ROW()</f>
        <v>24</v>
      </c>
      <c r="BV24" s="1124" t="s">
        <v>1840</v>
      </c>
      <c r="BW24" s="141"/>
      <c r="BX24" s="141"/>
      <c r="BY24" s="141"/>
      <c r="BZ24" s="141"/>
      <c r="CA24" s="141"/>
      <c r="CB24" s="141"/>
      <c r="CC24" s="141"/>
      <c r="CD24" s="141"/>
      <c r="CE24" s="141"/>
      <c r="CF24" s="141"/>
      <c r="CG24" s="141"/>
      <c r="CH24" s="141"/>
      <c r="CI24" s="329"/>
      <c r="CJ24" s="329"/>
      <c r="CK24" s="329"/>
      <c r="CL24" s="329"/>
      <c r="CM24" s="345">
        <f>ROW()</f>
        <v>24</v>
      </c>
      <c r="CN24" s="1005" t="s">
        <v>1755</v>
      </c>
      <c r="CO24" s="1014"/>
      <c r="CP24" s="1016"/>
      <c r="CQ24" s="1016"/>
      <c r="CR24" s="1016"/>
      <c r="CS24" s="1016"/>
      <c r="CT24" s="1016"/>
      <c r="CU24" s="1016"/>
      <c r="CV24" s="1016"/>
      <c r="CW24" s="1016"/>
      <c r="CX24" s="1016"/>
      <c r="CY24" s="1016"/>
      <c r="CZ24" s="1016"/>
    </row>
    <row r="25" spans="1:104" ht="15.5" x14ac:dyDescent="0.35">
      <c r="A25" s="111">
        <f>ROW()</f>
        <v>25</v>
      </c>
      <c r="B25" s="686"/>
      <c r="C25" s="686"/>
      <c r="D25" s="214"/>
      <c r="E25" s="214"/>
      <c r="F25" s="214"/>
      <c r="G25" s="214"/>
      <c r="H25" s="214"/>
      <c r="I25" s="214"/>
      <c r="J25" s="214"/>
      <c r="K25" s="214"/>
      <c r="L25" s="214"/>
      <c r="M25" s="214"/>
      <c r="N25" s="214"/>
      <c r="O25" s="214"/>
      <c r="P25" s="214"/>
      <c r="Q25" s="214"/>
      <c r="R25" s="214"/>
      <c r="AK25" s="111">
        <v>15</v>
      </c>
      <c r="AN25" s="121"/>
      <c r="AO25" s="121"/>
      <c r="AP25" s="121"/>
      <c r="AQ25" s="121"/>
      <c r="AR25" s="121"/>
      <c r="AS25" s="121"/>
      <c r="AT25" s="121"/>
      <c r="AU25" s="121"/>
      <c r="AV25" s="121"/>
      <c r="AW25" s="121"/>
      <c r="AX25" s="121"/>
      <c r="AY25" s="121"/>
      <c r="AZ25" s="121"/>
      <c r="BA25" s="121"/>
      <c r="BB25" s="121"/>
      <c r="BC25" s="111">
        <f>ROW()</f>
        <v>25</v>
      </c>
      <c r="BD25" s="248" t="s">
        <v>271</v>
      </c>
      <c r="BE25"/>
      <c r="BF25" s="270"/>
      <c r="BG25" s="270"/>
      <c r="BH25" s="245">
        <v>8669863.8600160964</v>
      </c>
      <c r="BI25" s="245">
        <f>-BH25</f>
        <v>-8669863.8600160964</v>
      </c>
      <c r="BJ25" s="245">
        <f t="shared" ref="BJ25:BJ30" si="13">BH25+BI25</f>
        <v>0</v>
      </c>
      <c r="BK25" s="245"/>
      <c r="BL25" s="245">
        <f t="shared" ref="BL25:BL30" si="14">BJ25+BK25</f>
        <v>0</v>
      </c>
      <c r="BM25" s="685"/>
      <c r="BN25" s="245">
        <f t="shared" ref="BN25:BN30" si="15">BL25+BM25</f>
        <v>0</v>
      </c>
      <c r="BO25" s="245"/>
      <c r="BP25" s="245">
        <f t="shared" ref="BP25:BP30" si="16">BN25+BO25</f>
        <v>0</v>
      </c>
      <c r="BQ25" s="245"/>
      <c r="BR25" s="245"/>
      <c r="BS25" s="245"/>
      <c r="BT25" s="245"/>
      <c r="BU25" s="345">
        <f>ROW()</f>
        <v>25</v>
      </c>
      <c r="BV25" s="1124" t="s">
        <v>1841</v>
      </c>
      <c r="BW25" s="141"/>
      <c r="BX25" s="1125"/>
      <c r="BY25" s="1125"/>
      <c r="BZ25" s="1126">
        <v>25913928.649999999</v>
      </c>
      <c r="CA25" s="1126">
        <v>31505890.107479818</v>
      </c>
      <c r="CB25" s="1126">
        <f>SUM(BZ25:CA25)</f>
        <v>57419818.757479817</v>
      </c>
      <c r="CC25" s="1126">
        <v>-10489888.836809613</v>
      </c>
      <c r="CD25" s="1126">
        <f t="shared" ref="CD25:CD26" si="17">SUM(CB25:CC25)</f>
        <v>46929929.920670204</v>
      </c>
      <c r="CE25" s="1126">
        <v>-6301235.2377254888</v>
      </c>
      <c r="CF25" s="1126">
        <f t="shared" ref="CF25:CF26" si="18">SUM(CD25:CE25)</f>
        <v>40628694.682944715</v>
      </c>
      <c r="CG25" s="1126">
        <v>-6604602.5850778967</v>
      </c>
      <c r="CH25" s="1126">
        <f t="shared" ref="CH25:CH26" si="19">SUM(CF25:CG25)</f>
        <v>34024092.097866818</v>
      </c>
      <c r="CI25" s="356"/>
      <c r="CJ25" s="173"/>
      <c r="CK25" s="356">
        <f>CL25-CJ25</f>
        <v>0</v>
      </c>
      <c r="CL25" s="173"/>
      <c r="CM25" s="345">
        <f>ROW()</f>
        <v>25</v>
      </c>
      <c r="CN25" s="1004" t="s">
        <v>1427</v>
      </c>
      <c r="CO25" s="1010"/>
      <c r="CP25" s="1011"/>
      <c r="CQ25" s="1011">
        <v>-689507.20602600183</v>
      </c>
      <c r="CR25" s="1011">
        <f>CQ25+CP25</f>
        <v>-689507.20602600183</v>
      </c>
      <c r="CS25" s="1011">
        <v>-343654.17358200159</v>
      </c>
      <c r="CT25" s="1011">
        <f>CS25+CQ25</f>
        <v>-1033161.3796080034</v>
      </c>
      <c r="CU25" s="1011">
        <v>-687308.34716399759</v>
      </c>
      <c r="CV25" s="1011">
        <f>CT25+CU25</f>
        <v>-1720469.726772001</v>
      </c>
      <c r="CW25" s="1011">
        <v>-542973.59425955813</v>
      </c>
      <c r="CX25" s="1011">
        <f>CV25+CW25</f>
        <v>-2263443.3210315593</v>
      </c>
      <c r="CY25" s="1011">
        <v>-748928.48779001692</v>
      </c>
      <c r="CZ25" s="1011">
        <f>CX25+CY25</f>
        <v>-3012371.8088215762</v>
      </c>
    </row>
    <row r="26" spans="1:104" ht="15.5" x14ac:dyDescent="0.35">
      <c r="A26" s="111">
        <f>ROW()</f>
        <v>26</v>
      </c>
      <c r="B26" s="112"/>
      <c r="C26" s="112"/>
      <c r="D26" s="265"/>
      <c r="E26" s="265"/>
      <c r="F26" s="265"/>
      <c r="G26" s="265"/>
      <c r="H26" s="265"/>
      <c r="I26" s="265"/>
      <c r="J26" s="265"/>
      <c r="K26" s="265"/>
      <c r="L26" s="265"/>
      <c r="M26" s="265"/>
      <c r="N26" s="265"/>
      <c r="O26" s="265"/>
      <c r="P26" s="265"/>
      <c r="Q26" s="265"/>
      <c r="R26" s="265"/>
      <c r="AK26" s="111">
        <v>16</v>
      </c>
      <c r="AN26" s="121"/>
      <c r="AO26" s="121"/>
      <c r="AP26" s="121"/>
      <c r="AQ26" s="121"/>
      <c r="AR26" s="121"/>
      <c r="AS26" s="121"/>
      <c r="AT26" s="121"/>
      <c r="AU26" s="121"/>
      <c r="AV26" s="121"/>
      <c r="AW26" s="121"/>
      <c r="AX26" s="121"/>
      <c r="AY26" s="121"/>
      <c r="AZ26" s="121"/>
      <c r="BA26" s="121"/>
      <c r="BB26" s="121"/>
      <c r="BC26" s="111">
        <f>ROW()</f>
        <v>26</v>
      </c>
      <c r="BD26" s="248" t="s">
        <v>1876</v>
      </c>
      <c r="BE26"/>
      <c r="BF26" s="270"/>
      <c r="BG26" s="270"/>
      <c r="BH26" s="118">
        <v>7192132.5900000008</v>
      </c>
      <c r="BI26" s="118">
        <f t="shared" ref="BI26:BI30" si="20">-BH26</f>
        <v>-7192132.5900000008</v>
      </c>
      <c r="BJ26" s="118">
        <f t="shared" si="13"/>
        <v>0</v>
      </c>
      <c r="BK26" s="118"/>
      <c r="BL26" s="118">
        <f t="shared" si="14"/>
        <v>0</v>
      </c>
      <c r="BM26" s="676"/>
      <c r="BN26" s="118">
        <f t="shared" si="15"/>
        <v>0</v>
      </c>
      <c r="BO26" s="118"/>
      <c r="BP26" s="118">
        <f t="shared" si="16"/>
        <v>0</v>
      </c>
      <c r="BQ26" s="118"/>
      <c r="BR26" s="118"/>
      <c r="BS26" s="118"/>
      <c r="BT26" s="118"/>
      <c r="BU26" s="345">
        <f>ROW()</f>
        <v>26</v>
      </c>
      <c r="BV26" s="1124" t="s">
        <v>908</v>
      </c>
      <c r="BW26" s="141"/>
      <c r="BX26" s="1125"/>
      <c r="BY26" s="1125"/>
      <c r="BZ26" s="1126">
        <v>-4332485.1600000011</v>
      </c>
      <c r="CA26" s="1126">
        <v>-6786290.6957603497</v>
      </c>
      <c r="CB26" s="1126">
        <f t="shared" ref="CB26" si="21">SUM(BZ26:CA26)</f>
        <v>-11118775.855760351</v>
      </c>
      <c r="CC26" s="1126">
        <v>1817381.4842074867</v>
      </c>
      <c r="CD26" s="1126">
        <f t="shared" si="17"/>
        <v>-9301394.3715528641</v>
      </c>
      <c r="CE26" s="1126">
        <v>1130511.8146610903</v>
      </c>
      <c r="CF26" s="1126">
        <f t="shared" si="18"/>
        <v>-8170882.5568917738</v>
      </c>
      <c r="CG26" s="1126">
        <v>1166614.2709085923</v>
      </c>
      <c r="CH26" s="1126">
        <f t="shared" si="19"/>
        <v>-7004268.2859831816</v>
      </c>
      <c r="CI26" s="356"/>
      <c r="CJ26" s="173"/>
      <c r="CK26" s="356">
        <f>CL26-CJ26</f>
        <v>0</v>
      </c>
      <c r="CL26" s="173"/>
      <c r="CM26" s="345">
        <f>ROW()</f>
        <v>26</v>
      </c>
      <c r="CN26" s="1004" t="s">
        <v>1747</v>
      </c>
      <c r="CO26" s="1010"/>
      <c r="CP26" s="1017"/>
      <c r="CQ26" s="1017">
        <v>-149248.62199999983</v>
      </c>
      <c r="CR26" s="1017">
        <f>CQ26+CP26</f>
        <v>-149248.62199999983</v>
      </c>
      <c r="CS26" s="368">
        <v>-74624.310999999871</v>
      </c>
      <c r="CT26" s="1017">
        <f>CS26+CQ26</f>
        <v>-223872.9329999997</v>
      </c>
      <c r="CU26" s="1017">
        <v>-149248.62200000003</v>
      </c>
      <c r="CV26" s="1017">
        <f>CT26+CU26</f>
        <v>-373121.5549999997</v>
      </c>
      <c r="CW26" s="1017">
        <v>-117906.41138000003</v>
      </c>
      <c r="CX26" s="1017">
        <f>CV26+CW26</f>
        <v>-491027.96637999977</v>
      </c>
      <c r="CY26" s="1017">
        <v>-117906.41138000035</v>
      </c>
      <c r="CZ26" s="1017">
        <f>CX26+CY26</f>
        <v>-608934.37776000006</v>
      </c>
    </row>
    <row r="27" spans="1:104" ht="16" thickBot="1" x14ac:dyDescent="0.4">
      <c r="A27" s="111">
        <f>ROW()</f>
        <v>27</v>
      </c>
      <c r="B27" s="112"/>
      <c r="C27" s="112"/>
      <c r="D27" s="265"/>
      <c r="E27" s="265"/>
      <c r="F27" s="265"/>
      <c r="G27" s="265"/>
      <c r="H27" s="265"/>
      <c r="I27" s="265"/>
      <c r="J27" s="265"/>
      <c r="K27" s="265"/>
      <c r="L27" s="265"/>
      <c r="M27" s="265"/>
      <c r="N27" s="265"/>
      <c r="O27" s="265"/>
      <c r="P27" s="265"/>
      <c r="Q27" s="265"/>
      <c r="R27" s="265"/>
      <c r="AK27" s="111">
        <v>19</v>
      </c>
      <c r="AM27" s="135"/>
      <c r="AN27" s="121"/>
      <c r="AO27" s="121"/>
      <c r="AP27" s="121"/>
      <c r="AQ27" s="121"/>
      <c r="AR27" s="121"/>
      <c r="AS27" s="121"/>
      <c r="AT27" s="121"/>
      <c r="AU27" s="121"/>
      <c r="AV27" s="121"/>
      <c r="AW27" s="121"/>
      <c r="AX27" s="121"/>
      <c r="AY27" s="121"/>
      <c r="AZ27" s="121"/>
      <c r="BA27" s="121"/>
      <c r="BB27" s="121"/>
      <c r="BC27" s="111">
        <f>ROW()</f>
        <v>27</v>
      </c>
      <c r="BD27" s="248" t="s">
        <v>1018</v>
      </c>
      <c r="BE27"/>
      <c r="BF27" s="270"/>
      <c r="BG27" s="270"/>
      <c r="BH27" s="118">
        <v>0</v>
      </c>
      <c r="BI27" s="118">
        <f t="shared" si="20"/>
        <v>0</v>
      </c>
      <c r="BJ27" s="118">
        <f t="shared" si="13"/>
        <v>0</v>
      </c>
      <c r="BK27" s="118"/>
      <c r="BL27" s="118">
        <f t="shared" si="14"/>
        <v>0</v>
      </c>
      <c r="BM27" s="676"/>
      <c r="BN27" s="118">
        <f t="shared" si="15"/>
        <v>0</v>
      </c>
      <c r="BO27" s="118"/>
      <c r="BP27" s="118">
        <f t="shared" si="16"/>
        <v>0</v>
      </c>
      <c r="BQ27" s="118"/>
      <c r="BR27" s="118"/>
      <c r="BS27" s="118"/>
      <c r="BT27" s="118"/>
      <c r="BU27" s="345">
        <f>ROW()</f>
        <v>27</v>
      </c>
      <c r="BV27" s="1127" t="s">
        <v>1022</v>
      </c>
      <c r="BW27" s="1128"/>
      <c r="BX27" s="1129">
        <f t="shared" ref="BX27:CL27" si="22">SUM(BX25:BX26)</f>
        <v>0</v>
      </c>
      <c r="BY27" s="1129">
        <f t="shared" si="22"/>
        <v>0</v>
      </c>
      <c r="BZ27" s="1129">
        <f t="shared" si="22"/>
        <v>21581443.489999998</v>
      </c>
      <c r="CA27" s="1130">
        <f t="shared" si="22"/>
        <v>24719599.411719467</v>
      </c>
      <c r="CB27" s="1129">
        <f t="shared" si="22"/>
        <v>46301042.901719466</v>
      </c>
      <c r="CC27" s="1129">
        <f t="shared" si="22"/>
        <v>-8672507.3526021261</v>
      </c>
      <c r="CD27" s="1129">
        <f t="shared" si="22"/>
        <v>37628535.549117342</v>
      </c>
      <c r="CE27" s="1129">
        <f t="shared" si="22"/>
        <v>-5170723.4230643986</v>
      </c>
      <c r="CF27" s="1129">
        <f t="shared" si="22"/>
        <v>32457812.126052942</v>
      </c>
      <c r="CG27" s="1129">
        <f t="shared" si="22"/>
        <v>-5437988.3141693044</v>
      </c>
      <c r="CH27" s="1129">
        <f t="shared" si="22"/>
        <v>27019823.811883636</v>
      </c>
      <c r="CI27" s="723">
        <f t="shared" si="22"/>
        <v>0</v>
      </c>
      <c r="CJ27" s="723">
        <f t="shared" si="22"/>
        <v>0</v>
      </c>
      <c r="CK27" s="723">
        <f t="shared" si="22"/>
        <v>0</v>
      </c>
      <c r="CL27" s="723">
        <f t="shared" si="22"/>
        <v>0</v>
      </c>
      <c r="CM27" s="345">
        <f>ROW()</f>
        <v>27</v>
      </c>
      <c r="CN27" s="1004" t="s">
        <v>274</v>
      </c>
      <c r="CO27" s="1010"/>
      <c r="CP27" s="1013">
        <f>SUM(CP25:CP26)</f>
        <v>0</v>
      </c>
      <c r="CQ27" s="1013">
        <f t="shared" ref="CQ27:CZ27" si="23">SUM(CQ25:CQ26)</f>
        <v>-838755.82802600169</v>
      </c>
      <c r="CR27" s="1013">
        <f t="shared" si="23"/>
        <v>-838755.82802600169</v>
      </c>
      <c r="CS27" s="1013">
        <f t="shared" si="23"/>
        <v>-418278.48458200146</v>
      </c>
      <c r="CT27" s="1013">
        <f t="shared" si="23"/>
        <v>-1257034.3126080032</v>
      </c>
      <c r="CU27" s="1013">
        <f t="shared" si="23"/>
        <v>-836556.96916399756</v>
      </c>
      <c r="CV27" s="1013">
        <f t="shared" si="23"/>
        <v>-2093591.2817720007</v>
      </c>
      <c r="CW27" s="1013">
        <v>-660880.00563955819</v>
      </c>
      <c r="CX27" s="1013">
        <f t="shared" si="23"/>
        <v>-2754471.2874115589</v>
      </c>
      <c r="CY27" s="1013">
        <v>-866834.89917001734</v>
      </c>
      <c r="CZ27" s="1013">
        <f t="shared" si="23"/>
        <v>-3621306.1865815762</v>
      </c>
    </row>
    <row r="28" spans="1:104" ht="16" thickTop="1" x14ac:dyDescent="0.35">
      <c r="A28" s="111">
        <f>ROW()</f>
        <v>28</v>
      </c>
      <c r="B28" s="112"/>
      <c r="C28" s="112"/>
      <c r="D28" s="265"/>
      <c r="E28" s="265"/>
      <c r="F28" s="265"/>
      <c r="G28" s="265"/>
      <c r="H28" s="265"/>
      <c r="I28" s="265"/>
      <c r="J28" s="265"/>
      <c r="K28" s="265"/>
      <c r="L28" s="265"/>
      <c r="M28" s="265"/>
      <c r="N28" s="265"/>
      <c r="O28" s="265"/>
      <c r="P28" s="265"/>
      <c r="Q28" s="265"/>
      <c r="R28" s="265"/>
      <c r="AK28" s="111">
        <v>20</v>
      </c>
      <c r="BC28" s="111">
        <f>ROW()</f>
        <v>28</v>
      </c>
      <c r="BD28" s="248" t="s">
        <v>1877</v>
      </c>
      <c r="BE28"/>
      <c r="BF28" s="270"/>
      <c r="BG28" s="270"/>
      <c r="BH28" s="118">
        <v>0</v>
      </c>
      <c r="BI28" s="118">
        <f t="shared" si="20"/>
        <v>0</v>
      </c>
      <c r="BJ28" s="118">
        <f t="shared" si="13"/>
        <v>0</v>
      </c>
      <c r="BK28" s="118"/>
      <c r="BL28" s="118">
        <f t="shared" si="14"/>
        <v>0</v>
      </c>
      <c r="BM28" s="676"/>
      <c r="BN28" s="118">
        <f t="shared" si="15"/>
        <v>0</v>
      </c>
      <c r="BO28" s="118"/>
      <c r="BP28" s="118">
        <f t="shared" si="16"/>
        <v>0</v>
      </c>
      <c r="BQ28" s="118"/>
      <c r="BR28" s="118"/>
      <c r="BS28" s="118"/>
      <c r="BT28" s="118"/>
      <c r="BU28" s="345">
        <f>ROW()</f>
        <v>28</v>
      </c>
      <c r="BV28" s="1120" t="s">
        <v>336</v>
      </c>
      <c r="BW28" s="1"/>
      <c r="BX28" s="724">
        <f>+BX22-BX27</f>
        <v>0</v>
      </c>
      <c r="BY28" s="724">
        <f t="shared" ref="BY28:CL28" si="24">+BY22-BY27</f>
        <v>0</v>
      </c>
      <c r="BZ28" s="724">
        <f t="shared" si="24"/>
        <v>0</v>
      </c>
      <c r="CA28" s="724">
        <f t="shared" si="24"/>
        <v>0</v>
      </c>
      <c r="CB28" s="724">
        <f t="shared" si="24"/>
        <v>0</v>
      </c>
      <c r="CC28" s="724">
        <f t="shared" si="24"/>
        <v>0</v>
      </c>
      <c r="CD28" s="724">
        <f t="shared" si="24"/>
        <v>0</v>
      </c>
      <c r="CE28" s="724">
        <f t="shared" si="24"/>
        <v>0</v>
      </c>
      <c r="CF28" s="724">
        <f t="shared" si="24"/>
        <v>0</v>
      </c>
      <c r="CG28" s="724">
        <f t="shared" si="24"/>
        <v>0</v>
      </c>
      <c r="CH28" s="724">
        <f t="shared" si="24"/>
        <v>0</v>
      </c>
      <c r="CI28" s="724">
        <f t="shared" si="24"/>
        <v>0</v>
      </c>
      <c r="CJ28" s="724">
        <f t="shared" si="24"/>
        <v>0</v>
      </c>
      <c r="CK28" s="724">
        <f t="shared" si="24"/>
        <v>0</v>
      </c>
      <c r="CL28" s="724">
        <f t="shared" si="24"/>
        <v>0</v>
      </c>
      <c r="CM28" s="345">
        <f>ROW()</f>
        <v>28</v>
      </c>
      <c r="CN28" s="1004"/>
      <c r="CO28" s="1010"/>
      <c r="CP28" s="1013"/>
      <c r="CQ28" s="1018"/>
      <c r="CR28" s="1018"/>
      <c r="CS28" s="329"/>
      <c r="CT28" s="1018"/>
      <c r="CU28" s="329"/>
      <c r="CV28" s="1018"/>
      <c r="CW28" s="329"/>
      <c r="CX28" s="1018"/>
      <c r="CY28" s="329"/>
      <c r="CZ28" s="1018"/>
    </row>
    <row r="29" spans="1:104" ht="15.5" x14ac:dyDescent="0.35">
      <c r="A29" s="111">
        <f>ROW()</f>
        <v>29</v>
      </c>
      <c r="C29" s="112"/>
      <c r="D29" s="214"/>
      <c r="E29" s="214"/>
      <c r="F29" s="214"/>
      <c r="G29" s="214"/>
      <c r="H29" s="214"/>
      <c r="I29" s="214"/>
      <c r="J29" s="214"/>
      <c r="K29" s="214"/>
      <c r="L29" s="214"/>
      <c r="M29" s="214"/>
      <c r="N29" s="214"/>
      <c r="O29" s="214"/>
      <c r="P29" s="214"/>
      <c r="Q29" s="214"/>
      <c r="R29" s="214"/>
      <c r="S29" s="111"/>
      <c r="AK29" s="111">
        <v>21</v>
      </c>
      <c r="AN29" s="114"/>
      <c r="AO29" s="114"/>
      <c r="AP29" s="114"/>
      <c r="AQ29" s="114"/>
      <c r="AR29" s="114"/>
      <c r="AS29" s="114"/>
      <c r="AT29" s="114"/>
      <c r="AU29" s="114"/>
      <c r="AV29" s="114"/>
      <c r="AW29" s="114"/>
      <c r="AX29" s="114"/>
      <c r="AY29" s="114"/>
      <c r="AZ29" s="114"/>
      <c r="BA29" s="114"/>
      <c r="BB29" s="114"/>
      <c r="BC29" s="111">
        <f>ROW()</f>
        <v>29</v>
      </c>
      <c r="BD29" s="248" t="s">
        <v>1017</v>
      </c>
      <c r="BE29"/>
      <c r="BF29" s="270"/>
      <c r="BG29" s="270"/>
      <c r="BH29" s="118">
        <v>-1820671.4106033803</v>
      </c>
      <c r="BI29" s="118">
        <f t="shared" si="20"/>
        <v>1820671.4106033803</v>
      </c>
      <c r="BJ29" s="118">
        <f t="shared" si="13"/>
        <v>0</v>
      </c>
      <c r="BK29" s="118"/>
      <c r="BL29" s="118">
        <f t="shared" si="14"/>
        <v>0</v>
      </c>
      <c r="BM29" s="676"/>
      <c r="BN29" s="118">
        <f t="shared" si="15"/>
        <v>0</v>
      </c>
      <c r="BO29" s="118"/>
      <c r="BP29" s="118">
        <f t="shared" si="16"/>
        <v>0</v>
      </c>
      <c r="BQ29" s="118"/>
      <c r="BR29" s="118"/>
      <c r="BS29" s="118"/>
      <c r="BT29" s="118"/>
      <c r="BU29" s="345">
        <f>ROW()</f>
        <v>29</v>
      </c>
      <c r="BV29" s="234"/>
      <c r="BW29" s="234"/>
      <c r="BX29" s="234"/>
      <c r="BY29" s="234"/>
      <c r="BZ29" s="234"/>
      <c r="CA29" s="234"/>
      <c r="CB29" s="234"/>
      <c r="CC29" s="234"/>
      <c r="CD29" s="234"/>
      <c r="CE29" s="234"/>
      <c r="CF29" s="234"/>
      <c r="CG29" s="234"/>
      <c r="CH29" s="234"/>
      <c r="CM29" s="345">
        <f>ROW()</f>
        <v>29</v>
      </c>
      <c r="CN29" s="1004" t="s">
        <v>230</v>
      </c>
      <c r="CO29" s="1019">
        <v>0.21</v>
      </c>
      <c r="CP29" s="1013">
        <f>CP27*-$CO$29</f>
        <v>0</v>
      </c>
      <c r="CQ29" s="1013">
        <f t="shared" ref="CQ29:CZ29" si="25">CQ27*-$CO$29</f>
        <v>176138.72388546035</v>
      </c>
      <c r="CR29" s="1013">
        <f t="shared" si="25"/>
        <v>176138.72388546035</v>
      </c>
      <c r="CS29" s="1013">
        <f t="shared" si="25"/>
        <v>87838.481762220297</v>
      </c>
      <c r="CT29" s="1013">
        <f t="shared" si="25"/>
        <v>263977.20564768068</v>
      </c>
      <c r="CU29" s="1013">
        <f t="shared" si="25"/>
        <v>175676.96352443949</v>
      </c>
      <c r="CV29" s="1013">
        <f t="shared" si="25"/>
        <v>439654.16917212011</v>
      </c>
      <c r="CW29" s="1013">
        <f t="shared" si="25"/>
        <v>138784.8011843072</v>
      </c>
      <c r="CX29" s="1013">
        <f t="shared" si="25"/>
        <v>578438.97035642737</v>
      </c>
      <c r="CY29" s="1013">
        <f t="shared" si="25"/>
        <v>182035.32882570365</v>
      </c>
      <c r="CZ29" s="1013">
        <f t="shared" si="25"/>
        <v>760474.29918213096</v>
      </c>
    </row>
    <row r="30" spans="1:104" ht="15.5" x14ac:dyDescent="0.35">
      <c r="A30" s="111">
        <f>ROW()</f>
        <v>30</v>
      </c>
      <c r="B30" s="112"/>
      <c r="C30" s="112"/>
      <c r="D30" s="214"/>
      <c r="E30" s="214"/>
      <c r="F30" s="214"/>
      <c r="G30" s="214"/>
      <c r="H30" s="214"/>
      <c r="I30" s="214"/>
      <c r="J30" s="214"/>
      <c r="K30" s="214"/>
      <c r="L30" s="214"/>
      <c r="M30" s="214"/>
      <c r="N30" s="214"/>
      <c r="O30" s="214"/>
      <c r="P30" s="214"/>
      <c r="Q30" s="214"/>
      <c r="R30" s="214"/>
      <c r="S30" s="111"/>
      <c r="AK30" s="111"/>
      <c r="BC30" s="111">
        <f>ROW()</f>
        <v>30</v>
      </c>
      <c r="BD30" s="248" t="s">
        <v>1878</v>
      </c>
      <c r="BE30"/>
      <c r="BF30" s="270"/>
      <c r="BG30" s="270"/>
      <c r="BH30" s="118">
        <v>-1510347.8439</v>
      </c>
      <c r="BI30" s="118">
        <f t="shared" si="20"/>
        <v>1510347.8439</v>
      </c>
      <c r="BJ30" s="118">
        <f t="shared" si="13"/>
        <v>0</v>
      </c>
      <c r="BK30" s="118"/>
      <c r="BL30" s="118">
        <f t="shared" si="14"/>
        <v>0</v>
      </c>
      <c r="BM30" s="676"/>
      <c r="BN30" s="118">
        <f t="shared" si="15"/>
        <v>0</v>
      </c>
      <c r="BO30" s="118"/>
      <c r="BP30" s="118">
        <f t="shared" si="16"/>
        <v>0</v>
      </c>
      <c r="BQ30" s="118"/>
      <c r="BR30" s="118"/>
      <c r="BS30" s="118"/>
      <c r="BT30" s="118"/>
      <c r="BU30" s="345">
        <f>ROW()</f>
        <v>30</v>
      </c>
      <c r="BV30" s="247" t="s">
        <v>296</v>
      </c>
      <c r="BW30" s="247"/>
      <c r="BX30" s="366"/>
      <c r="BY30" s="366"/>
      <c r="BZ30" s="366"/>
      <c r="CA30" s="234"/>
      <c r="CB30" s="234"/>
      <c r="CC30" s="234"/>
      <c r="CD30" s="234"/>
      <c r="CE30" s="234"/>
      <c r="CF30" s="234"/>
      <c r="CG30" s="234"/>
      <c r="CH30" s="234"/>
      <c r="CM30" s="345">
        <f>ROW()</f>
        <v>30</v>
      </c>
      <c r="CN30" s="1004"/>
      <c r="CO30" s="1019"/>
      <c r="CP30" s="1013"/>
      <c r="CQ30" s="1018"/>
      <c r="CR30" s="1018"/>
      <c r="CS30" s="329"/>
      <c r="CT30" s="1018"/>
      <c r="CU30" s="329"/>
      <c r="CV30" s="1018"/>
      <c r="CW30" s="329"/>
      <c r="CX30" s="1018"/>
      <c r="CY30" s="329"/>
      <c r="CZ30" s="1018"/>
    </row>
    <row r="31" spans="1:104" ht="15.5" x14ac:dyDescent="0.35">
      <c r="A31" s="111">
        <f>ROW()</f>
        <v>31</v>
      </c>
      <c r="B31" s="112"/>
      <c r="C31" s="112"/>
      <c r="D31" s="214"/>
      <c r="E31" s="214"/>
      <c r="F31" s="214"/>
      <c r="G31" s="214"/>
      <c r="H31" s="214"/>
      <c r="I31" s="214"/>
      <c r="J31" s="214"/>
      <c r="K31" s="214"/>
      <c r="L31" s="214"/>
      <c r="M31" s="214"/>
      <c r="N31" s="214"/>
      <c r="O31" s="214"/>
      <c r="P31" s="214"/>
      <c r="Q31" s="214"/>
      <c r="R31" s="214"/>
      <c r="S31" s="111"/>
      <c r="AK31"/>
      <c r="AL31"/>
      <c r="AM31"/>
      <c r="AN31"/>
      <c r="AO31"/>
      <c r="AP31"/>
      <c r="AQ31"/>
      <c r="AR31"/>
      <c r="AS31"/>
      <c r="AT31"/>
      <c r="AU31"/>
      <c r="AV31"/>
      <c r="AW31"/>
      <c r="AX31"/>
      <c r="AY31"/>
      <c r="AZ31"/>
      <c r="BA31"/>
      <c r="BB31"/>
      <c r="BC31" s="111">
        <f>ROW()</f>
        <v>31</v>
      </c>
      <c r="BD31" s="249" t="s">
        <v>282</v>
      </c>
      <c r="BE31"/>
      <c r="BF31" s="440">
        <f t="shared" ref="BF31:BP31" si="26">SUM(BF25:BF30)</f>
        <v>0</v>
      </c>
      <c r="BG31" s="440">
        <f t="shared" si="26"/>
        <v>0</v>
      </c>
      <c r="BH31" s="440">
        <f t="shared" si="26"/>
        <v>12530977.195512716</v>
      </c>
      <c r="BI31" s="440">
        <f t="shared" si="26"/>
        <v>-12530977.195512716</v>
      </c>
      <c r="BJ31" s="440">
        <f t="shared" si="26"/>
        <v>0</v>
      </c>
      <c r="BK31" s="440">
        <f t="shared" si="26"/>
        <v>0</v>
      </c>
      <c r="BL31" s="440">
        <f t="shared" si="26"/>
        <v>0</v>
      </c>
      <c r="BM31" s="683">
        <f t="shared" si="26"/>
        <v>0</v>
      </c>
      <c r="BN31" s="440">
        <f t="shared" si="26"/>
        <v>0</v>
      </c>
      <c r="BO31" s="440">
        <f t="shared" si="26"/>
        <v>0</v>
      </c>
      <c r="BP31" s="440">
        <f t="shared" si="26"/>
        <v>0</v>
      </c>
      <c r="BQ31" s="440"/>
      <c r="BR31" s="440"/>
      <c r="BS31" s="440"/>
      <c r="BT31" s="440"/>
      <c r="BU31" s="345">
        <f>ROW()</f>
        <v>31</v>
      </c>
      <c r="BV31" s="232" t="s">
        <v>1846</v>
      </c>
      <c r="BW31" s="232"/>
      <c r="BX31" s="269" t="s">
        <v>297</v>
      </c>
      <c r="BY31" s="923"/>
      <c r="BZ31" s="270"/>
      <c r="CA31" s="270"/>
      <c r="CB31" s="270"/>
      <c r="CC31" s="270"/>
      <c r="CD31" s="270"/>
      <c r="CE31" s="270"/>
      <c r="CF31" s="270"/>
      <c r="CG31" s="270"/>
      <c r="CH31" s="270"/>
      <c r="CI31" s="270"/>
      <c r="CJ31" s="270"/>
      <c r="CK31" s="270"/>
      <c r="CL31" s="270"/>
      <c r="CM31" s="345">
        <f>ROW()</f>
        <v>31</v>
      </c>
      <c r="CN31" s="1007" t="s">
        <v>224</v>
      </c>
      <c r="CO31" s="1014"/>
      <c r="CP31" s="1020">
        <f>-CP27-CP29</f>
        <v>0</v>
      </c>
      <c r="CQ31" s="1020">
        <f>-CQ27-CQ29</f>
        <v>662617.10414054128</v>
      </c>
      <c r="CR31" s="1020">
        <f t="shared" ref="CR31:CZ31" si="27">-CR27-CR29</f>
        <v>662617.10414054128</v>
      </c>
      <c r="CS31" s="1020">
        <f t="shared" si="27"/>
        <v>330440.00281978119</v>
      </c>
      <c r="CT31" s="1020">
        <f t="shared" si="27"/>
        <v>993057.10696032248</v>
      </c>
      <c r="CU31" s="1020">
        <f t="shared" si="27"/>
        <v>660880.00563955808</v>
      </c>
      <c r="CV31" s="1020">
        <f t="shared" si="27"/>
        <v>1653937.1125998807</v>
      </c>
      <c r="CW31" s="1020">
        <f t="shared" si="27"/>
        <v>522095.20445525099</v>
      </c>
      <c r="CX31" s="1020">
        <f t="shared" si="27"/>
        <v>2176032.3170551313</v>
      </c>
      <c r="CY31" s="1020">
        <f t="shared" si="27"/>
        <v>684799.57034431375</v>
      </c>
      <c r="CZ31" s="1020">
        <f t="shared" si="27"/>
        <v>2860831.8873994453</v>
      </c>
    </row>
    <row r="32" spans="1:104" x14ac:dyDescent="0.35">
      <c r="A32" s="111">
        <f>ROW()</f>
        <v>32</v>
      </c>
      <c r="B32" s="112"/>
      <c r="C32" s="112"/>
      <c r="D32" s="214"/>
      <c r="E32" s="214"/>
      <c r="F32" s="214"/>
      <c r="G32" s="214"/>
      <c r="H32" s="214"/>
      <c r="I32" s="214"/>
      <c r="J32" s="214"/>
      <c r="K32" s="214"/>
      <c r="L32" s="214"/>
      <c r="M32" s="214"/>
      <c r="N32" s="214"/>
      <c r="O32" s="214"/>
      <c r="P32" s="214"/>
      <c r="Q32" s="214"/>
      <c r="R32" s="214"/>
      <c r="S32" s="111"/>
      <c r="AK32"/>
      <c r="AL32"/>
      <c r="AM32"/>
      <c r="AN32"/>
      <c r="AO32"/>
      <c r="AP32"/>
      <c r="AQ32"/>
      <c r="AR32"/>
      <c r="AS32"/>
      <c r="AT32"/>
      <c r="AU32"/>
      <c r="AV32"/>
      <c r="AW32"/>
      <c r="AX32"/>
      <c r="AY32"/>
      <c r="AZ32"/>
      <c r="BA32"/>
      <c r="BB32"/>
      <c r="BC32" s="111">
        <f>ROW()</f>
        <v>32</v>
      </c>
      <c r="BD32" s="232"/>
      <c r="BE32"/>
      <c r="BF32" s="440"/>
      <c r="BG32" s="440"/>
      <c r="BH32" s="440"/>
      <c r="BI32" s="440"/>
      <c r="BJ32" s="440"/>
      <c r="BK32" s="440"/>
      <c r="BL32" s="440"/>
      <c r="BM32" s="683"/>
      <c r="BN32" s="440"/>
      <c r="BO32" s="440"/>
      <c r="BP32" s="440"/>
      <c r="BQ32" s="440"/>
      <c r="BR32" s="440"/>
      <c r="BS32" s="440"/>
      <c r="BT32" s="440"/>
      <c r="BU32" s="345">
        <f>ROW()</f>
        <v>32</v>
      </c>
      <c r="BV32" s="232" t="s">
        <v>1847</v>
      </c>
      <c r="BW32" s="234"/>
      <c r="BX32" s="366">
        <v>259630.35329635424</v>
      </c>
      <c r="BY32" s="1121">
        <v>0</v>
      </c>
      <c r="BZ32" s="366">
        <f t="shared" ref="BZ32:BZ33" si="28">SUM(BX32:BY32)</f>
        <v>259630.35329635424</v>
      </c>
      <c r="CA32" s="366">
        <v>268284.69995562505</v>
      </c>
      <c r="CB32" s="366">
        <f t="shared" ref="CB32:CB43" si="29">SUM(BZ32:CA32)</f>
        <v>527915.05325197929</v>
      </c>
      <c r="CC32" s="366">
        <v>8654.3466592708137</v>
      </c>
      <c r="CD32" s="366">
        <f t="shared" ref="CD32:CD43" si="30">SUM(CB32:CC32)</f>
        <v>536569.3999112501</v>
      </c>
      <c r="CE32" s="366">
        <v>0</v>
      </c>
      <c r="CF32" s="366">
        <f t="shared" ref="CF32:CF43" si="31">SUM(CD32:CE32)</f>
        <v>536569.3999112501</v>
      </c>
      <c r="CG32" s="366">
        <v>-527915.05325197882</v>
      </c>
      <c r="CH32" s="366">
        <f t="shared" ref="CH32:CH43" si="32">SUM(CF32:CG32)</f>
        <v>8654.3466592712793</v>
      </c>
    </row>
    <row r="33" spans="1:92" ht="15" thickBot="1" x14ac:dyDescent="0.4">
      <c r="A33" s="111">
        <f>ROW()</f>
        <v>33</v>
      </c>
      <c r="B33" s="112"/>
      <c r="C33" s="112"/>
      <c r="D33" s="265"/>
      <c r="E33" s="265"/>
      <c r="F33" s="265"/>
      <c r="G33" s="265"/>
      <c r="H33" s="265"/>
      <c r="I33" s="265"/>
      <c r="J33" s="265"/>
      <c r="K33" s="265"/>
      <c r="L33" s="265"/>
      <c r="M33" s="265"/>
      <c r="N33" s="265"/>
      <c r="O33" s="265"/>
      <c r="P33" s="265"/>
      <c r="Q33" s="265"/>
      <c r="R33" s="265"/>
      <c r="S33" s="111"/>
      <c r="AK33"/>
      <c r="AL33"/>
      <c r="AM33"/>
      <c r="AN33"/>
      <c r="AO33"/>
      <c r="AP33"/>
      <c r="AQ33"/>
      <c r="AR33"/>
      <c r="AS33"/>
      <c r="AT33"/>
      <c r="AU33"/>
      <c r="AV33"/>
      <c r="AW33"/>
      <c r="AX33"/>
      <c r="AY33"/>
      <c r="AZ33"/>
      <c r="BA33"/>
      <c r="BB33"/>
      <c r="BC33" s="111">
        <f>ROW()</f>
        <v>33</v>
      </c>
      <c r="BD33" s="232" t="s">
        <v>261</v>
      </c>
      <c r="BE33"/>
      <c r="BF33" s="271">
        <f t="shared" ref="BF33:BP33" si="33">BF22+BF31</f>
        <v>0</v>
      </c>
      <c r="BG33" s="271">
        <f t="shared" si="33"/>
        <v>0</v>
      </c>
      <c r="BH33" s="271">
        <f t="shared" si="33"/>
        <v>244980865.4539476</v>
      </c>
      <c r="BI33" s="271">
        <f t="shared" si="33"/>
        <v>-244980865.4539476</v>
      </c>
      <c r="BJ33" s="271">
        <f t="shared" si="33"/>
        <v>0</v>
      </c>
      <c r="BK33" s="271">
        <f t="shared" si="33"/>
        <v>0</v>
      </c>
      <c r="BL33" s="271">
        <f t="shared" si="33"/>
        <v>0</v>
      </c>
      <c r="BM33" s="682">
        <f t="shared" si="33"/>
        <v>0</v>
      </c>
      <c r="BN33" s="271">
        <f t="shared" si="33"/>
        <v>0</v>
      </c>
      <c r="BO33" s="271">
        <f t="shared" si="33"/>
        <v>0</v>
      </c>
      <c r="BP33" s="271">
        <f t="shared" si="33"/>
        <v>0</v>
      </c>
      <c r="BQ33" s="271"/>
      <c r="BR33" s="271"/>
      <c r="BS33" s="271"/>
      <c r="BT33" s="271"/>
      <c r="BU33" s="345">
        <f>ROW()</f>
        <v>33</v>
      </c>
      <c r="BV33" s="232" t="s">
        <v>1848</v>
      </c>
      <c r="BW33" s="234"/>
      <c r="BX33" s="366">
        <v>756339.67484964966</v>
      </c>
      <c r="BY33" s="1121">
        <v>0</v>
      </c>
      <c r="BZ33" s="366">
        <f t="shared" si="28"/>
        <v>756339.67484964966</v>
      </c>
      <c r="CA33" s="366">
        <v>781550.98969929898</v>
      </c>
      <c r="CB33" s="366">
        <f t="shared" si="29"/>
        <v>1537890.6645489486</v>
      </c>
      <c r="CC33" s="366">
        <v>25211.314849649556</v>
      </c>
      <c r="CD33" s="366">
        <f t="shared" si="30"/>
        <v>1563101.9793985982</v>
      </c>
      <c r="CE33" s="366">
        <v>0</v>
      </c>
      <c r="CF33" s="366">
        <f t="shared" si="31"/>
        <v>1563101.9793985982</v>
      </c>
      <c r="CG33" s="366">
        <v>-1537890.6645489514</v>
      </c>
      <c r="CH33" s="366">
        <f t="shared" si="32"/>
        <v>25211.314849646762</v>
      </c>
    </row>
    <row r="34" spans="1:92" ht="15" thickTop="1" x14ac:dyDescent="0.35">
      <c r="A34" s="111">
        <f>ROW()</f>
        <v>34</v>
      </c>
      <c r="S34" s="111"/>
      <c r="AK34"/>
      <c r="AL34"/>
      <c r="AM34"/>
      <c r="AN34"/>
      <c r="AO34"/>
      <c r="AP34"/>
      <c r="AQ34"/>
      <c r="AR34"/>
      <c r="AS34"/>
      <c r="AT34"/>
      <c r="AU34"/>
      <c r="AV34"/>
      <c r="AW34"/>
      <c r="AX34"/>
      <c r="AY34"/>
      <c r="AZ34"/>
      <c r="BA34"/>
      <c r="BB34"/>
      <c r="BC34" s="111">
        <f>ROW()</f>
        <v>34</v>
      </c>
      <c r="BD34" s="232"/>
      <c r="BE34"/>
      <c r="BF34" s="366"/>
      <c r="BG34" s="366"/>
      <c r="BH34" s="366"/>
      <c r="BI34" s="366"/>
      <c r="BJ34" s="366"/>
      <c r="BK34" s="366"/>
      <c r="BL34" s="366"/>
      <c r="BM34" s="1097"/>
      <c r="BN34" s="366"/>
      <c r="BO34" s="366"/>
      <c r="BP34" s="366"/>
      <c r="BQ34" s="319"/>
      <c r="BR34" s="319"/>
      <c r="BS34" s="319"/>
      <c r="BT34" s="319"/>
      <c r="BU34" s="345">
        <f>ROW()</f>
        <v>34</v>
      </c>
      <c r="BV34" s="232" t="s">
        <v>1849</v>
      </c>
      <c r="BW34" s="232"/>
      <c r="BX34" s="366">
        <v>1907894.9700000004</v>
      </c>
      <c r="BY34" s="1121">
        <v>0</v>
      </c>
      <c r="BZ34" s="366">
        <f>SUM(BX34:BY34)</f>
        <v>1907894.9700000004</v>
      </c>
      <c r="CA34" s="366">
        <v>-476973.74250000017</v>
      </c>
      <c r="CB34" s="366">
        <f t="shared" si="29"/>
        <v>1430921.2275000003</v>
      </c>
      <c r="CC34" s="366">
        <v>-1430921.2275000003</v>
      </c>
      <c r="CD34" s="366">
        <f t="shared" si="30"/>
        <v>0</v>
      </c>
      <c r="CE34" s="366">
        <v>0</v>
      </c>
      <c r="CF34" s="366">
        <f t="shared" si="31"/>
        <v>0</v>
      </c>
      <c r="CG34" s="366">
        <v>0</v>
      </c>
      <c r="CH34" s="366">
        <f t="shared" si="32"/>
        <v>0</v>
      </c>
      <c r="CI34" s="366"/>
      <c r="CJ34" s="366"/>
      <c r="CK34" s="366"/>
      <c r="CL34" s="366"/>
    </row>
    <row r="35" spans="1:92" x14ac:dyDescent="0.35">
      <c r="A35" s="111">
        <f>ROW()</f>
        <v>35</v>
      </c>
      <c r="B35" s="238"/>
      <c r="D35" s="358"/>
      <c r="E35" s="358"/>
      <c r="F35" s="358"/>
      <c r="G35" s="358"/>
      <c r="H35" s="358"/>
      <c r="I35" s="358"/>
      <c r="J35" s="358"/>
      <c r="K35" s="358"/>
      <c r="L35" s="358"/>
      <c r="M35" s="358"/>
      <c r="N35" s="358"/>
      <c r="O35" s="358"/>
      <c r="P35" s="358"/>
      <c r="Q35" s="358"/>
      <c r="R35" s="358"/>
      <c r="S35" s="111"/>
      <c r="AK35"/>
      <c r="AL35"/>
      <c r="AM35"/>
      <c r="AN35"/>
      <c r="AO35"/>
      <c r="AP35"/>
      <c r="AQ35"/>
      <c r="AR35"/>
      <c r="AS35"/>
      <c r="AT35"/>
      <c r="AU35"/>
      <c r="AV35"/>
      <c r="AW35"/>
      <c r="AX35"/>
      <c r="AY35"/>
      <c r="AZ35"/>
      <c r="BA35"/>
      <c r="BB35"/>
      <c r="BC35" s="111">
        <f>ROW()</f>
        <v>35</v>
      </c>
      <c r="BD35" s="247" t="s">
        <v>1749</v>
      </c>
      <c r="BE35" s="681"/>
      <c r="BF35" s="319"/>
      <c r="BG35" s="319"/>
      <c r="BH35" s="319"/>
      <c r="BI35" s="319"/>
      <c r="BJ35" s="319"/>
      <c r="BK35" s="319"/>
      <c r="BL35" s="319"/>
      <c r="BM35" s="680"/>
      <c r="BN35" s="319"/>
      <c r="BO35" s="319"/>
      <c r="BP35" s="319"/>
      <c r="BQ35" s="118"/>
      <c r="BR35" s="118"/>
      <c r="BS35" s="118"/>
      <c r="BT35" s="118"/>
      <c r="BU35" s="345">
        <f>ROW()</f>
        <v>35</v>
      </c>
      <c r="BV35" s="232" t="s">
        <v>1850</v>
      </c>
      <c r="BW35" s="232"/>
      <c r="BX35" s="366">
        <v>358927.04416666669</v>
      </c>
      <c r="BY35" s="1121">
        <v>0</v>
      </c>
      <c r="BZ35" s="366">
        <f t="shared" ref="BZ35:BZ43" si="34">SUM(BX35:BY35)</f>
        <v>358927.04416666669</v>
      </c>
      <c r="CA35" s="366">
        <v>370891.0083333333</v>
      </c>
      <c r="CB35" s="366">
        <f t="shared" si="29"/>
        <v>729818.05249999999</v>
      </c>
      <c r="CC35" s="366">
        <v>11963.964166666614</v>
      </c>
      <c r="CD35" s="366">
        <f t="shared" si="30"/>
        <v>741782.0166666666</v>
      </c>
      <c r="CE35" s="366">
        <v>0</v>
      </c>
      <c r="CF35" s="366">
        <f t="shared" si="31"/>
        <v>741782.0166666666</v>
      </c>
      <c r="CG35" s="366">
        <v>-729818.0166666666</v>
      </c>
      <c r="CH35" s="366">
        <f t="shared" si="32"/>
        <v>11964</v>
      </c>
      <c r="CI35" s="366"/>
      <c r="CJ35" s="366"/>
      <c r="CK35" s="366"/>
      <c r="CL35" s="366"/>
    </row>
    <row r="36" spans="1:92" x14ac:dyDescent="0.35">
      <c r="A36" s="111">
        <f>ROW()</f>
        <v>36</v>
      </c>
      <c r="B36" s="112"/>
      <c r="D36" s="134"/>
      <c r="E36" s="134"/>
      <c r="F36" s="134"/>
      <c r="G36" s="134"/>
      <c r="H36" s="134"/>
      <c r="I36" s="134"/>
      <c r="J36" s="134"/>
      <c r="K36" s="134"/>
      <c r="L36" s="134"/>
      <c r="M36" s="134"/>
      <c r="N36" s="134"/>
      <c r="O36" s="134"/>
      <c r="P36" s="134"/>
      <c r="Q36" s="134"/>
      <c r="R36" s="134"/>
      <c r="S36" s="111"/>
      <c r="AK36"/>
      <c r="AL36"/>
      <c r="AM36"/>
      <c r="AN36"/>
      <c r="AO36"/>
      <c r="AP36"/>
      <c r="AQ36"/>
      <c r="AR36"/>
      <c r="AS36"/>
      <c r="AT36"/>
      <c r="AU36"/>
      <c r="AV36"/>
      <c r="AW36"/>
      <c r="AX36"/>
      <c r="AY36"/>
      <c r="AZ36"/>
      <c r="BA36"/>
      <c r="BB36"/>
      <c r="BC36" s="111">
        <f>ROW()</f>
        <v>36</v>
      </c>
      <c r="BD36" s="249" t="s">
        <v>1748</v>
      </c>
      <c r="BE36" s="681"/>
      <c r="BF36" s="270"/>
      <c r="BG36" s="270"/>
      <c r="BH36" s="245">
        <v>20081109</v>
      </c>
      <c r="BI36" s="118">
        <f>-BH36</f>
        <v>-20081109</v>
      </c>
      <c r="BJ36" s="245">
        <f>BH36+BI36</f>
        <v>0</v>
      </c>
      <c r="BK36" s="245"/>
      <c r="BL36" s="245">
        <f>BJ36+BK36</f>
        <v>0</v>
      </c>
      <c r="BM36" s="245"/>
      <c r="BN36" s="245">
        <f>BL36+BM36</f>
        <v>0</v>
      </c>
      <c r="BO36" s="245"/>
      <c r="BP36" s="245">
        <f>BN36+BO36</f>
        <v>0</v>
      </c>
      <c r="BQ36" s="118"/>
      <c r="BR36" s="118"/>
      <c r="BS36" s="118"/>
      <c r="BT36" s="118"/>
      <c r="BU36" s="345">
        <f>ROW()</f>
        <v>36</v>
      </c>
      <c r="BV36" s="232" t="s">
        <v>1851</v>
      </c>
      <c r="BW36" s="232"/>
      <c r="BX36" s="366">
        <v>537329.94929914502</v>
      </c>
      <c r="BY36" s="1121">
        <v>0</v>
      </c>
      <c r="BZ36" s="366">
        <f t="shared" si="34"/>
        <v>537329.94929914502</v>
      </c>
      <c r="CA36" s="366">
        <v>555241.37859829003</v>
      </c>
      <c r="CB36" s="366">
        <f t="shared" si="29"/>
        <v>1092571.3278974351</v>
      </c>
      <c r="CC36" s="366">
        <v>17911.429299145238</v>
      </c>
      <c r="CD36" s="366">
        <f t="shared" si="30"/>
        <v>1110482.7571965803</v>
      </c>
      <c r="CE36" s="366">
        <v>0</v>
      </c>
      <c r="CF36" s="366">
        <f t="shared" si="31"/>
        <v>1110482.7571965803</v>
      </c>
      <c r="CG36" s="366">
        <v>-1092571.7571965803</v>
      </c>
      <c r="CH36" s="366">
        <f t="shared" si="32"/>
        <v>17911</v>
      </c>
      <c r="CI36" s="366"/>
      <c r="CJ36" s="366"/>
      <c r="CK36" s="366"/>
      <c r="CL36" s="366"/>
    </row>
    <row r="37" spans="1:92" x14ac:dyDescent="0.35">
      <c r="A37" s="111">
        <f>ROW()</f>
        <v>37</v>
      </c>
      <c r="B37" s="238"/>
      <c r="D37" s="134"/>
      <c r="E37" s="134"/>
      <c r="F37" s="134"/>
      <c r="G37" s="134"/>
      <c r="H37" s="134"/>
      <c r="I37" s="134"/>
      <c r="J37" s="134"/>
      <c r="K37" s="134"/>
      <c r="L37" s="134"/>
      <c r="M37" s="134"/>
      <c r="N37" s="134"/>
      <c r="O37" s="134"/>
      <c r="P37" s="134"/>
      <c r="Q37" s="134"/>
      <c r="R37" s="134"/>
      <c r="S37" s="111"/>
      <c r="AK37"/>
      <c r="AL37"/>
      <c r="AM37"/>
      <c r="AN37"/>
      <c r="AO37"/>
      <c r="AP37"/>
      <c r="AQ37"/>
      <c r="AR37"/>
      <c r="AS37"/>
      <c r="AT37"/>
      <c r="AU37"/>
      <c r="AV37"/>
      <c r="AW37"/>
      <c r="AX37"/>
      <c r="AY37"/>
      <c r="AZ37"/>
      <c r="BA37"/>
      <c r="BB37"/>
      <c r="BC37" s="111">
        <f>ROW()</f>
        <v>37</v>
      </c>
      <c r="BD37" s="247" t="s">
        <v>1750</v>
      </c>
      <c r="BE37" s="681"/>
      <c r="BF37" s="270"/>
      <c r="BG37" s="270"/>
      <c r="BH37" s="319"/>
      <c r="BI37" s="319"/>
      <c r="BJ37" s="319"/>
      <c r="BK37" s="319"/>
      <c r="BL37" s="319"/>
      <c r="BM37" s="680"/>
      <c r="BN37" s="319"/>
      <c r="BO37" s="319"/>
      <c r="BP37" s="319"/>
      <c r="BQ37" s="118"/>
      <c r="BR37" s="118"/>
      <c r="BS37" s="118"/>
      <c r="BT37" s="118"/>
      <c r="BU37" s="345">
        <f>ROW()</f>
        <v>37</v>
      </c>
      <c r="BV37" s="232" t="s">
        <v>1852</v>
      </c>
      <c r="BW37" s="232"/>
      <c r="BX37" s="366">
        <v>3885741.6581850122</v>
      </c>
      <c r="BY37" s="1121">
        <v>0</v>
      </c>
      <c r="BZ37" s="366">
        <f t="shared" si="34"/>
        <v>3885741.6581850122</v>
      </c>
      <c r="CA37" s="366">
        <v>-971435.41454625316</v>
      </c>
      <c r="CB37" s="366">
        <f t="shared" si="29"/>
        <v>2914306.243638759</v>
      </c>
      <c r="CC37" s="366">
        <v>-2914306.243638759</v>
      </c>
      <c r="CD37" s="366">
        <f t="shared" si="30"/>
        <v>0</v>
      </c>
      <c r="CE37" s="366">
        <v>0</v>
      </c>
      <c r="CF37" s="366">
        <f t="shared" si="31"/>
        <v>0</v>
      </c>
      <c r="CG37" s="366">
        <v>0</v>
      </c>
      <c r="CH37" s="366">
        <f t="shared" si="32"/>
        <v>0</v>
      </c>
      <c r="CI37" s="366"/>
      <c r="CJ37" s="366"/>
      <c r="CK37" s="366"/>
      <c r="CL37" s="366"/>
    </row>
    <row r="38" spans="1:92" x14ac:dyDescent="0.35">
      <c r="A38" s="111">
        <f>ROW()</f>
        <v>38</v>
      </c>
      <c r="C38" s="186"/>
      <c r="D38" s="134"/>
      <c r="E38" s="134"/>
      <c r="F38" s="134"/>
      <c r="G38" s="134"/>
      <c r="H38" s="134"/>
      <c r="I38" s="134"/>
      <c r="J38" s="134"/>
      <c r="K38" s="134"/>
      <c r="L38" s="134"/>
      <c r="M38" s="134"/>
      <c r="N38" s="134"/>
      <c r="O38" s="134"/>
      <c r="P38" s="134"/>
      <c r="Q38" s="134"/>
      <c r="R38" s="134"/>
      <c r="S38" s="111"/>
      <c r="AK38"/>
      <c r="AL38"/>
      <c r="AM38"/>
      <c r="AN38"/>
      <c r="AO38"/>
      <c r="AP38"/>
      <c r="AQ38"/>
      <c r="AR38"/>
      <c r="AS38"/>
      <c r="AT38"/>
      <c r="AU38"/>
      <c r="AV38"/>
      <c r="AW38"/>
      <c r="AX38"/>
      <c r="AY38"/>
      <c r="AZ38"/>
      <c r="BA38"/>
      <c r="BB38"/>
      <c r="BC38" s="111">
        <f>ROW()</f>
        <v>38</v>
      </c>
      <c r="BD38" s="249" t="s">
        <v>1658</v>
      </c>
      <c r="BE38"/>
      <c r="BF38" s="270"/>
      <c r="BG38" s="270"/>
      <c r="BH38" s="118">
        <v>-6303193.7592588468</v>
      </c>
      <c r="BI38" s="118">
        <f>-BH38</f>
        <v>6303193.7592588468</v>
      </c>
      <c r="BJ38" s="118">
        <f>BH38+BI38</f>
        <v>0</v>
      </c>
      <c r="BK38" s="118"/>
      <c r="BL38" s="118">
        <f>BJ38+BK38</f>
        <v>0</v>
      </c>
      <c r="BM38" s="118">
        <v>0</v>
      </c>
      <c r="BN38" s="118">
        <f>BL38+BM38</f>
        <v>0</v>
      </c>
      <c r="BO38" s="118">
        <v>0</v>
      </c>
      <c r="BP38" s="118">
        <f>BN38+BO38</f>
        <v>0</v>
      </c>
      <c r="BQ38" s="118"/>
      <c r="BR38" s="118"/>
      <c r="BS38" s="118"/>
      <c r="BT38" s="118"/>
      <c r="BU38" s="345">
        <f>ROW()</f>
        <v>38</v>
      </c>
      <c r="BV38" s="232" t="s">
        <v>1853</v>
      </c>
      <c r="BW38" s="232"/>
      <c r="BX38" s="366">
        <v>44306.101122622487</v>
      </c>
      <c r="BY38" s="1121">
        <v>0</v>
      </c>
      <c r="BZ38" s="366">
        <f t="shared" si="34"/>
        <v>44306.101122622487</v>
      </c>
      <c r="CA38" s="366">
        <v>-11076.525280655616</v>
      </c>
      <c r="CB38" s="366">
        <f t="shared" si="29"/>
        <v>33229.575841966871</v>
      </c>
      <c r="CC38" s="366">
        <v>-33229.575841966871</v>
      </c>
      <c r="CD38" s="366">
        <f t="shared" si="30"/>
        <v>0</v>
      </c>
      <c r="CE38" s="366">
        <v>0</v>
      </c>
      <c r="CF38" s="366">
        <f t="shared" si="31"/>
        <v>0</v>
      </c>
      <c r="CG38" s="366">
        <v>0</v>
      </c>
      <c r="CH38" s="366">
        <f t="shared" si="32"/>
        <v>0</v>
      </c>
      <c r="CI38" s="366"/>
      <c r="CJ38" s="366"/>
      <c r="CK38" s="366"/>
      <c r="CL38" s="366"/>
    </row>
    <row r="39" spans="1:92" ht="15" thickBot="1" x14ac:dyDescent="0.4">
      <c r="A39" s="111">
        <f>ROW()</f>
        <v>39</v>
      </c>
      <c r="D39" s="178"/>
      <c r="E39" s="178"/>
      <c r="F39" s="178"/>
      <c r="G39" s="178"/>
      <c r="H39" s="178"/>
      <c r="I39" s="178"/>
      <c r="J39" s="178"/>
      <c r="K39" s="178"/>
      <c r="L39" s="178"/>
      <c r="M39" s="178"/>
      <c r="N39" s="178"/>
      <c r="O39" s="178"/>
      <c r="P39" s="178"/>
      <c r="Q39" s="178"/>
      <c r="R39" s="178"/>
      <c r="S39" s="111"/>
      <c r="AK39"/>
      <c r="AL39"/>
      <c r="AM39"/>
      <c r="AN39"/>
      <c r="AO39"/>
      <c r="AP39"/>
      <c r="AQ39"/>
      <c r="AR39"/>
      <c r="AS39"/>
      <c r="AT39"/>
      <c r="AU39"/>
      <c r="AV39"/>
      <c r="AW39"/>
      <c r="AX39"/>
      <c r="AY39"/>
      <c r="AZ39"/>
      <c r="BA39"/>
      <c r="BB39"/>
      <c r="BC39" s="111">
        <f>ROW()</f>
        <v>39</v>
      </c>
      <c r="BD39" s="249" t="s">
        <v>1659</v>
      </c>
      <c r="BF39" s="270"/>
      <c r="BG39" s="270"/>
      <c r="BH39" s="118">
        <f>BF39+BG39</f>
        <v>0</v>
      </c>
      <c r="BI39" s="676"/>
      <c r="BJ39" s="118">
        <f t="shared" ref="BJ39:BP43" si="35">BH39+BI39</f>
        <v>0</v>
      </c>
      <c r="BK39" s="118"/>
      <c r="BL39" s="118">
        <f t="shared" si="35"/>
        <v>0</v>
      </c>
      <c r="BM39" s="118">
        <v>0</v>
      </c>
      <c r="BN39" s="118">
        <f t="shared" si="35"/>
        <v>0</v>
      </c>
      <c r="BO39" s="118">
        <v>0</v>
      </c>
      <c r="BP39" s="118">
        <f t="shared" si="35"/>
        <v>0</v>
      </c>
      <c r="BQ39" s="679"/>
      <c r="BR39" s="679"/>
      <c r="BS39" s="679">
        <f t="shared" ref="BS39:BT39" si="36">SUM(BS35:BS38)</f>
        <v>0</v>
      </c>
      <c r="BT39" s="679">
        <f t="shared" si="36"/>
        <v>0</v>
      </c>
      <c r="BU39" s="345">
        <f>ROW()</f>
        <v>39</v>
      </c>
      <c r="BV39" s="232" t="s">
        <v>1854</v>
      </c>
      <c r="BW39" s="232"/>
      <c r="BX39" s="366">
        <v>888237.37008439284</v>
      </c>
      <c r="BY39" s="1121">
        <v>0</v>
      </c>
      <c r="BZ39" s="366">
        <f t="shared" si="34"/>
        <v>888237.37008439284</v>
      </c>
      <c r="CA39" s="366">
        <v>917845.64410127141</v>
      </c>
      <c r="CB39" s="366">
        <f t="shared" si="29"/>
        <v>1806083.0141856642</v>
      </c>
      <c r="CC39" s="366">
        <v>29608.274016878568</v>
      </c>
      <c r="CD39" s="366">
        <f t="shared" si="30"/>
        <v>1835691.2882025428</v>
      </c>
      <c r="CE39" s="366">
        <v>0</v>
      </c>
      <c r="CF39" s="366">
        <f t="shared" si="31"/>
        <v>1835691.2882025428</v>
      </c>
      <c r="CG39" s="366">
        <v>-1806083.0141856642</v>
      </c>
      <c r="CH39" s="366">
        <f t="shared" si="32"/>
        <v>29608.274016878568</v>
      </c>
      <c r="CI39" s="366"/>
      <c r="CJ39" s="366"/>
      <c r="CK39" s="366"/>
      <c r="CL39" s="366"/>
    </row>
    <row r="40" spans="1:92" ht="16" thickTop="1" x14ac:dyDescent="0.35">
      <c r="A40" s="111"/>
      <c r="S40" s="111"/>
      <c r="AK40"/>
      <c r="AL40"/>
      <c r="AM40"/>
      <c r="AN40"/>
      <c r="AO40"/>
      <c r="AP40"/>
      <c r="AQ40"/>
      <c r="AR40"/>
      <c r="AS40"/>
      <c r="AT40"/>
      <c r="AU40"/>
      <c r="AV40"/>
      <c r="AW40"/>
      <c r="AX40"/>
      <c r="AY40"/>
      <c r="AZ40"/>
      <c r="BA40"/>
      <c r="BB40"/>
      <c r="BC40" s="111">
        <f>ROW()</f>
        <v>40</v>
      </c>
      <c r="BD40" s="249" t="s">
        <v>154</v>
      </c>
      <c r="BE40" s="132">
        <f>+'Def, COC, ConvF DPK-7 '!$P$12</f>
        <v>2.8909999999999999E-3</v>
      </c>
      <c r="BF40" s="270"/>
      <c r="BG40" s="270"/>
      <c r="BH40" s="118">
        <f>BH$36*BE40</f>
        <v>58054.486119000001</v>
      </c>
      <c r="BI40" s="118">
        <f>-BH40</f>
        <v>-58054.486119000001</v>
      </c>
      <c r="BJ40" s="118">
        <f t="shared" si="35"/>
        <v>0</v>
      </c>
      <c r="BK40" s="118"/>
      <c r="BL40" s="118">
        <f t="shared" si="35"/>
        <v>0</v>
      </c>
      <c r="BM40" s="118"/>
      <c r="BN40" s="118">
        <f t="shared" si="35"/>
        <v>0</v>
      </c>
      <c r="BO40" s="118"/>
      <c r="BP40" s="118">
        <f t="shared" si="35"/>
        <v>0</v>
      </c>
      <c r="BQ40" s="677"/>
      <c r="BR40" s="677"/>
      <c r="BS40" s="677"/>
      <c r="BT40" s="677"/>
      <c r="BU40" s="345">
        <f>ROW()</f>
        <v>40</v>
      </c>
      <c r="BV40" s="232" t="s">
        <v>1855</v>
      </c>
      <c r="BW40" s="232"/>
      <c r="BX40" s="366">
        <v>46598.034672490241</v>
      </c>
      <c r="BY40" s="1121">
        <v>0</v>
      </c>
      <c r="BZ40" s="366">
        <f t="shared" si="34"/>
        <v>46598.034672490241</v>
      </c>
      <c r="CA40" s="366">
        <v>48151.241606988267</v>
      </c>
      <c r="CB40" s="366">
        <f t="shared" si="29"/>
        <v>94749.276279478509</v>
      </c>
      <c r="CC40" s="366">
        <v>1553.2069344980409</v>
      </c>
      <c r="CD40" s="366">
        <f t="shared" si="30"/>
        <v>96302.483213976549</v>
      </c>
      <c r="CE40" s="366">
        <v>0</v>
      </c>
      <c r="CF40" s="366">
        <f t="shared" si="31"/>
        <v>96302.483213976549</v>
      </c>
      <c r="CG40" s="366">
        <v>-94749.276279478334</v>
      </c>
      <c r="CH40" s="366">
        <f t="shared" si="32"/>
        <v>1553.2069344982156</v>
      </c>
      <c r="CI40" s="366"/>
      <c r="CJ40" s="366"/>
      <c r="CK40" s="366"/>
      <c r="CL40" s="366"/>
    </row>
    <row r="41" spans="1:92" x14ac:dyDescent="0.35">
      <c r="A41" s="111"/>
      <c r="S41" s="111"/>
      <c r="AK41"/>
      <c r="AL41"/>
      <c r="AM41"/>
      <c r="AN41"/>
      <c r="AO41"/>
      <c r="AP41"/>
      <c r="AQ41"/>
      <c r="AR41"/>
      <c r="AS41"/>
      <c r="AT41"/>
      <c r="AU41"/>
      <c r="AV41"/>
      <c r="AW41"/>
      <c r="AX41"/>
      <c r="AY41"/>
      <c r="AZ41"/>
      <c r="BA41"/>
      <c r="BB41"/>
      <c r="BC41" s="111">
        <f>ROW()</f>
        <v>41</v>
      </c>
      <c r="BD41" s="249" t="s">
        <v>179</v>
      </c>
      <c r="BE41" s="132">
        <f>+'Def, COC, ConvF DPK-7 '!$P$13</f>
        <v>4.0000000000000001E-3</v>
      </c>
      <c r="BF41" s="270"/>
      <c r="BG41" s="270"/>
      <c r="BH41" s="118">
        <f>BH$36*BE41</f>
        <v>80324.436000000002</v>
      </c>
      <c r="BI41" s="118">
        <f>-BH41</f>
        <v>-80324.436000000002</v>
      </c>
      <c r="BJ41" s="118">
        <f t="shared" si="35"/>
        <v>0</v>
      </c>
      <c r="BK41" s="118"/>
      <c r="BL41" s="118">
        <f t="shared" si="35"/>
        <v>0</v>
      </c>
      <c r="BM41" s="118"/>
      <c r="BN41" s="118">
        <f t="shared" si="35"/>
        <v>0</v>
      </c>
      <c r="BO41" s="118"/>
      <c r="BP41" s="118">
        <f t="shared" si="35"/>
        <v>0</v>
      </c>
      <c r="BQ41" s="366"/>
      <c r="BR41" s="366"/>
      <c r="BS41" s="366"/>
      <c r="BT41" s="366"/>
      <c r="BU41" s="345">
        <f>ROW()</f>
        <v>41</v>
      </c>
      <c r="BV41" s="232" t="s">
        <v>1856</v>
      </c>
      <c r="BW41" s="232"/>
      <c r="BX41" s="366">
        <v>1272263</v>
      </c>
      <c r="BY41" s="1121">
        <v>0</v>
      </c>
      <c r="BZ41" s="366">
        <f t="shared" si="34"/>
        <v>1272263</v>
      </c>
      <c r="CA41" s="366">
        <v>1314672</v>
      </c>
      <c r="CB41" s="366">
        <f t="shared" si="29"/>
        <v>2586935</v>
      </c>
      <c r="CC41" s="366">
        <v>42409</v>
      </c>
      <c r="CD41" s="366">
        <f t="shared" si="30"/>
        <v>2629344</v>
      </c>
      <c r="CE41" s="366">
        <v>393.02820257330313</v>
      </c>
      <c r="CF41" s="366">
        <f t="shared" si="31"/>
        <v>2629737.0282025733</v>
      </c>
      <c r="CG41" s="366">
        <v>0</v>
      </c>
      <c r="CH41" s="366">
        <f t="shared" si="32"/>
        <v>2629737.0282025733</v>
      </c>
      <c r="CI41" s="366"/>
      <c r="CJ41" s="366"/>
      <c r="CK41" s="366"/>
      <c r="CL41" s="366"/>
    </row>
    <row r="42" spans="1:92" x14ac:dyDescent="0.3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s="111">
        <f>ROW()</f>
        <v>42</v>
      </c>
      <c r="BD42" s="249" t="s">
        <v>1663</v>
      </c>
      <c r="BE42"/>
      <c r="BF42" s="270"/>
      <c r="BG42" s="270"/>
      <c r="BH42" s="118">
        <v>6303193.7592588468</v>
      </c>
      <c r="BI42" s="118">
        <f>-BH42</f>
        <v>-6303193.7592588468</v>
      </c>
      <c r="BJ42" s="118">
        <f t="shared" si="35"/>
        <v>0</v>
      </c>
      <c r="BK42" s="118"/>
      <c r="BL42" s="118">
        <f t="shared" si="35"/>
        <v>0</v>
      </c>
      <c r="BM42" s="118">
        <v>0</v>
      </c>
      <c r="BN42" s="118">
        <f t="shared" si="35"/>
        <v>0</v>
      </c>
      <c r="BO42" s="118">
        <v>0</v>
      </c>
      <c r="BP42" s="118">
        <f t="shared" si="35"/>
        <v>0</v>
      </c>
      <c r="BQ42" s="118"/>
      <c r="BR42" s="118"/>
      <c r="BS42" s="118"/>
      <c r="BT42" s="118"/>
      <c r="BU42" s="345">
        <f>ROW()</f>
        <v>42</v>
      </c>
      <c r="BV42" s="232" t="s">
        <v>1857</v>
      </c>
      <c r="BW42" s="232"/>
      <c r="BX42" s="366">
        <v>51323</v>
      </c>
      <c r="BY42" s="1121">
        <v>0</v>
      </c>
      <c r="BZ42" s="366">
        <f t="shared" si="34"/>
        <v>51323</v>
      </c>
      <c r="CA42" s="366">
        <v>53034</v>
      </c>
      <c r="CB42" s="366">
        <f t="shared" si="29"/>
        <v>104357</v>
      </c>
      <c r="CC42" s="366">
        <v>1711</v>
      </c>
      <c r="CD42" s="366">
        <f t="shared" si="30"/>
        <v>106068</v>
      </c>
      <c r="CE42" s="366">
        <v>12517.231128963002</v>
      </c>
      <c r="CF42" s="366">
        <f t="shared" si="31"/>
        <v>118585.231128963</v>
      </c>
      <c r="CG42" s="366">
        <v>0</v>
      </c>
      <c r="CH42" s="366">
        <f t="shared" si="32"/>
        <v>118585.231128963</v>
      </c>
      <c r="CI42" s="366"/>
      <c r="CJ42" s="366"/>
      <c r="CK42" s="366"/>
      <c r="CL42" s="366"/>
    </row>
    <row r="43" spans="1:92" x14ac:dyDescent="0.3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s="111">
        <f>ROW()</f>
        <v>43</v>
      </c>
      <c r="BD43" s="249" t="s">
        <v>1104</v>
      </c>
      <c r="BE43" s="132">
        <f>+'Def, COC, ConvF DPK-7 '!$P$14</f>
        <v>3.8408999999999999E-2</v>
      </c>
      <c r="BF43" s="270"/>
      <c r="BG43" s="270"/>
      <c r="BH43" s="118">
        <f>BH$36*BE43</f>
        <v>771295.31558099994</v>
      </c>
      <c r="BI43" s="118">
        <f>-BH43</f>
        <v>-771295.31558099994</v>
      </c>
      <c r="BJ43" s="118">
        <f t="shared" si="35"/>
        <v>0</v>
      </c>
      <c r="BK43" s="118"/>
      <c r="BL43" s="118">
        <f t="shared" si="35"/>
        <v>0</v>
      </c>
      <c r="BM43" s="118"/>
      <c r="BN43" s="118">
        <f t="shared" si="35"/>
        <v>0</v>
      </c>
      <c r="BO43" s="118">
        <v>0</v>
      </c>
      <c r="BP43" s="118">
        <f t="shared" si="35"/>
        <v>0</v>
      </c>
      <c r="BQ43" s="246"/>
      <c r="BR43" s="246"/>
      <c r="BS43" s="246"/>
      <c r="BT43" s="246"/>
      <c r="BU43" s="345">
        <f>ROW()</f>
        <v>43</v>
      </c>
      <c r="BV43" s="232" t="s">
        <v>1845</v>
      </c>
      <c r="BW43" s="232"/>
      <c r="BX43" s="234">
        <v>0</v>
      </c>
      <c r="BY43" s="1121">
        <v>0</v>
      </c>
      <c r="BZ43" s="366">
        <f t="shared" si="34"/>
        <v>0</v>
      </c>
      <c r="CA43" s="366">
        <v>155878.90935166666</v>
      </c>
      <c r="CB43" s="366">
        <f t="shared" si="29"/>
        <v>155878.90935166666</v>
      </c>
      <c r="CC43" s="366">
        <v>1714668.0028683334</v>
      </c>
      <c r="CD43" s="366">
        <f t="shared" si="30"/>
        <v>1870546.9122200001</v>
      </c>
      <c r="CE43" s="366">
        <v>0</v>
      </c>
      <c r="CF43" s="366">
        <f t="shared" si="31"/>
        <v>1870546.9122200001</v>
      </c>
      <c r="CG43" s="366">
        <v>0</v>
      </c>
      <c r="CH43" s="366">
        <f t="shared" si="32"/>
        <v>1870546.9122200001</v>
      </c>
      <c r="CI43" s="366"/>
      <c r="CJ43" s="366"/>
      <c r="CK43" s="366"/>
      <c r="CL43" s="366"/>
    </row>
    <row r="44" spans="1:92" ht="15" thickBot="1" x14ac:dyDescent="0.4">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s="111">
        <f>ROW()</f>
        <v>44</v>
      </c>
      <c r="BD44" s="249" t="s">
        <v>3</v>
      </c>
      <c r="BE44"/>
      <c r="BF44" s="679">
        <f t="shared" ref="BF44:BP44" si="37">SUM(BF38:BF43)</f>
        <v>0</v>
      </c>
      <c r="BG44" s="679">
        <f t="shared" si="37"/>
        <v>0</v>
      </c>
      <c r="BH44" s="679">
        <f t="shared" si="37"/>
        <v>909674.23769999994</v>
      </c>
      <c r="BI44" s="679">
        <f t="shared" si="37"/>
        <v>-909674.23769999994</v>
      </c>
      <c r="BJ44" s="679">
        <f t="shared" si="37"/>
        <v>0</v>
      </c>
      <c r="BK44" s="679">
        <f t="shared" si="37"/>
        <v>0</v>
      </c>
      <c r="BL44" s="679">
        <f t="shared" si="37"/>
        <v>0</v>
      </c>
      <c r="BM44" s="679">
        <f t="shared" si="37"/>
        <v>0</v>
      </c>
      <c r="BN44" s="679">
        <f t="shared" si="37"/>
        <v>0</v>
      </c>
      <c r="BO44" s="679">
        <f t="shared" si="37"/>
        <v>0</v>
      </c>
      <c r="BP44" s="679">
        <f t="shared" si="37"/>
        <v>0</v>
      </c>
      <c r="BQ44" s="321"/>
      <c r="BR44" s="321"/>
      <c r="BS44" s="321"/>
      <c r="BT44" s="321"/>
      <c r="BU44" s="345">
        <f>ROW()</f>
        <v>44</v>
      </c>
      <c r="BV44" s="241" t="s">
        <v>298</v>
      </c>
      <c r="BW44" s="241"/>
      <c r="BX44" s="684">
        <f t="shared" ref="BX44:CL44" si="38">SUM(BX31:BX43)</f>
        <v>10008591.155676333</v>
      </c>
      <c r="BY44" s="684">
        <f t="shared" si="38"/>
        <v>0</v>
      </c>
      <c r="BZ44" s="684">
        <f t="shared" si="38"/>
        <v>10008591.155676333</v>
      </c>
      <c r="CA44" s="684">
        <f t="shared" si="38"/>
        <v>3006064.1893195645</v>
      </c>
      <c r="CB44" s="684">
        <f t="shared" si="38"/>
        <v>13014655.344995899</v>
      </c>
      <c r="CC44" s="684">
        <f t="shared" si="38"/>
        <v>-2524766.5081862849</v>
      </c>
      <c r="CD44" s="684">
        <f t="shared" si="38"/>
        <v>10489888.836809615</v>
      </c>
      <c r="CE44" s="684">
        <f t="shared" si="38"/>
        <v>12910.259331536305</v>
      </c>
      <c r="CF44" s="684">
        <f t="shared" si="38"/>
        <v>10502799.09614115</v>
      </c>
      <c r="CG44" s="684">
        <f t="shared" si="38"/>
        <v>-5789027.7821293194</v>
      </c>
      <c r="CH44" s="684">
        <f t="shared" si="38"/>
        <v>4713771.3140118318</v>
      </c>
      <c r="CI44" s="684">
        <f t="shared" si="38"/>
        <v>0</v>
      </c>
      <c r="CJ44" s="684">
        <f t="shared" si="38"/>
        <v>0</v>
      </c>
      <c r="CK44" s="684">
        <f t="shared" si="38"/>
        <v>0</v>
      </c>
      <c r="CL44" s="684">
        <f t="shared" si="38"/>
        <v>0</v>
      </c>
    </row>
    <row r="45" spans="1:92" ht="16" thickTop="1" x14ac:dyDescent="0.3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s="111">
        <f>ROW()</f>
        <v>45</v>
      </c>
      <c r="BD45" s="675"/>
      <c r="BE45"/>
      <c r="BF45" s="677"/>
      <c r="BG45" s="677"/>
      <c r="BH45" s="677"/>
      <c r="BI45" s="678"/>
      <c r="BJ45" s="677"/>
      <c r="BK45" s="677"/>
      <c r="BL45" s="677"/>
      <c r="BM45" s="678"/>
      <c r="BN45" s="677"/>
      <c r="BO45" s="677"/>
      <c r="BP45" s="677"/>
      <c r="BQ45"/>
      <c r="BR45"/>
      <c r="BS45"/>
      <c r="BT45"/>
      <c r="BU45" s="345">
        <f>ROW()</f>
        <v>45</v>
      </c>
      <c r="BV45" s="234"/>
      <c r="BW45" s="234"/>
      <c r="BX45" s="234"/>
      <c r="BY45" s="234"/>
      <c r="BZ45" s="234"/>
      <c r="CA45" s="234"/>
      <c r="CB45" s="234"/>
      <c r="CC45" s="234"/>
      <c r="CD45" s="234"/>
      <c r="CE45" s="234"/>
      <c r="CF45" s="234"/>
      <c r="CG45" s="234"/>
      <c r="CH45" s="234"/>
    </row>
    <row r="46" spans="1:92" x14ac:dyDescent="0.3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s="111">
        <f>ROW()</f>
        <v>46</v>
      </c>
      <c r="BD46" s="232" t="s">
        <v>266</v>
      </c>
      <c r="BE46"/>
      <c r="BF46" s="270"/>
      <c r="BG46" s="270"/>
      <c r="BH46" s="366">
        <f t="shared" ref="BH46:BN46" si="39">BH44</f>
        <v>909674.23769999994</v>
      </c>
      <c r="BI46" s="366">
        <f t="shared" si="39"/>
        <v>-909674.23769999994</v>
      </c>
      <c r="BJ46" s="366">
        <f t="shared" si="39"/>
        <v>0</v>
      </c>
      <c r="BK46" s="366">
        <f t="shared" si="39"/>
        <v>0</v>
      </c>
      <c r="BL46" s="366">
        <f t="shared" si="39"/>
        <v>0</v>
      </c>
      <c r="BM46" s="366">
        <f t="shared" si="39"/>
        <v>0</v>
      </c>
      <c r="BN46" s="366">
        <f t="shared" si="39"/>
        <v>0</v>
      </c>
      <c r="BO46" s="118">
        <f>BP46-BN46</f>
        <v>0</v>
      </c>
      <c r="BP46" s="366">
        <f>BP44</f>
        <v>0</v>
      </c>
      <c r="BQ46"/>
      <c r="BR46"/>
      <c r="BS46"/>
      <c r="BT46"/>
      <c r="BU46" s="345">
        <f>ROW()</f>
        <v>46</v>
      </c>
      <c r="BV46" s="234"/>
      <c r="BW46" s="186">
        <v>0.21</v>
      </c>
      <c r="BX46" s="215">
        <f t="shared" ref="BX46:CL46" si="40">-BX44*$BW$46</f>
        <v>-2101804.1426920299</v>
      </c>
      <c r="BY46" s="215">
        <f t="shared" si="40"/>
        <v>0</v>
      </c>
      <c r="BZ46" s="215">
        <f t="shared" si="40"/>
        <v>-2101804.1426920299</v>
      </c>
      <c r="CA46" s="215">
        <f t="shared" si="40"/>
        <v>-631273.47975710849</v>
      </c>
      <c r="CB46" s="215">
        <f t="shared" si="40"/>
        <v>-2733077.6224491387</v>
      </c>
      <c r="CC46" s="215">
        <f t="shared" si="40"/>
        <v>530200.96671911981</v>
      </c>
      <c r="CD46" s="215">
        <f t="shared" si="40"/>
        <v>-2202876.6557300189</v>
      </c>
      <c r="CE46" s="215">
        <f t="shared" si="40"/>
        <v>-2711.154459622624</v>
      </c>
      <c r="CF46" s="215">
        <f t="shared" si="40"/>
        <v>-2205587.8101896415</v>
      </c>
      <c r="CG46" s="215">
        <f t="shared" si="40"/>
        <v>1215695.834247157</v>
      </c>
      <c r="CH46" s="215">
        <f t="shared" si="40"/>
        <v>-989891.97594248469</v>
      </c>
      <c r="CI46" s="215">
        <f t="shared" si="40"/>
        <v>0</v>
      </c>
      <c r="CJ46" s="215">
        <f t="shared" si="40"/>
        <v>0</v>
      </c>
      <c r="CK46" s="215">
        <f t="shared" si="40"/>
        <v>0</v>
      </c>
      <c r="CL46" s="215">
        <f t="shared" si="40"/>
        <v>0</v>
      </c>
    </row>
    <row r="47" spans="1:92" ht="15" thickBot="1" x14ac:dyDescent="0.4">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s="111">
        <f>ROW()</f>
        <v>47</v>
      </c>
      <c r="BD47" s="232"/>
      <c r="BE47"/>
      <c r="BF47" s="270"/>
      <c r="BG47" s="270"/>
      <c r="BH47" s="118"/>
      <c r="BI47" s="118"/>
      <c r="BJ47" s="118"/>
      <c r="BK47" s="118"/>
      <c r="BL47" s="118"/>
      <c r="BM47" s="118">
        <f>BM45</f>
        <v>0</v>
      </c>
      <c r="BN47" s="118"/>
      <c r="BO47"/>
      <c r="BP47" s="118"/>
      <c r="BQ47"/>
      <c r="BR47"/>
      <c r="BS47"/>
      <c r="BT47"/>
      <c r="BU47" s="345">
        <f>ROW()</f>
        <v>47</v>
      </c>
      <c r="BV47" s="234"/>
      <c r="BW47" s="1122"/>
      <c r="BX47" s="382">
        <f t="shared" ref="BX47:CL47" si="41">-BX44-BX46</f>
        <v>-7906787.0129843038</v>
      </c>
      <c r="BY47" s="382">
        <f t="shared" si="41"/>
        <v>0</v>
      </c>
      <c r="BZ47" s="382">
        <f t="shared" si="41"/>
        <v>-7906787.0129843038</v>
      </c>
      <c r="CA47" s="382">
        <f>-CA44-CA46</f>
        <v>-2374790.7095624562</v>
      </c>
      <c r="CB47" s="382">
        <f t="shared" si="41"/>
        <v>-10281577.72254676</v>
      </c>
      <c r="CC47" s="382">
        <f t="shared" si="41"/>
        <v>1994565.5414671651</v>
      </c>
      <c r="CD47" s="382">
        <f t="shared" si="41"/>
        <v>-8287012.1810795963</v>
      </c>
      <c r="CE47" s="382">
        <f t="shared" si="41"/>
        <v>-10199.104871913682</v>
      </c>
      <c r="CF47" s="382">
        <f t="shared" si="41"/>
        <v>-8297211.2859515082</v>
      </c>
      <c r="CG47" s="382">
        <f t="shared" si="41"/>
        <v>4573331.9478821624</v>
      </c>
      <c r="CH47" s="382">
        <f t="shared" si="41"/>
        <v>-3723879.3380693472</v>
      </c>
      <c r="CI47" s="382">
        <f t="shared" si="41"/>
        <v>0</v>
      </c>
      <c r="CJ47" s="382">
        <f t="shared" si="41"/>
        <v>0</v>
      </c>
      <c r="CK47" s="382">
        <f t="shared" si="41"/>
        <v>0</v>
      </c>
      <c r="CL47" s="382">
        <f t="shared" si="41"/>
        <v>0</v>
      </c>
    </row>
    <row r="48" spans="1:92" ht="15" thickTop="1" x14ac:dyDescent="0.3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s="111">
        <f>ROW()</f>
        <v>48</v>
      </c>
      <c r="BD48" s="232" t="s">
        <v>239</v>
      </c>
      <c r="BE48" s="320">
        <f>FIT</f>
        <v>0.21</v>
      </c>
      <c r="BF48" s="270"/>
      <c r="BG48" s="270"/>
      <c r="BH48" s="246">
        <f t="shared" ref="BH48:BP48" si="42">(BH36-BH44)*$BE$48</f>
        <v>4026001.3000829997</v>
      </c>
      <c r="BI48" s="246">
        <f t="shared" si="42"/>
        <v>-4026001.3000829997</v>
      </c>
      <c r="BJ48" s="246">
        <f t="shared" si="42"/>
        <v>0</v>
      </c>
      <c r="BK48" s="246">
        <f t="shared" si="42"/>
        <v>0</v>
      </c>
      <c r="BL48" s="246">
        <f t="shared" si="42"/>
        <v>0</v>
      </c>
      <c r="BM48" s="246">
        <f t="shared" si="42"/>
        <v>0</v>
      </c>
      <c r="BN48" s="246">
        <f t="shared" si="42"/>
        <v>0</v>
      </c>
      <c r="BO48" s="246">
        <f t="shared" si="42"/>
        <v>0</v>
      </c>
      <c r="BP48" s="246">
        <f t="shared" si="42"/>
        <v>0</v>
      </c>
      <c r="BQ48"/>
      <c r="BR48"/>
      <c r="BS48"/>
      <c r="BT48"/>
      <c r="BU48" s="345">
        <f>ROW()</f>
        <v>48</v>
      </c>
      <c r="BV48" s="175" t="s">
        <v>1858</v>
      </c>
      <c r="BW48" s="234"/>
      <c r="BX48" s="234"/>
      <c r="BY48" s="234"/>
      <c r="BZ48" s="234"/>
      <c r="CA48" s="234"/>
      <c r="CB48" s="234"/>
      <c r="CC48" s="234"/>
      <c r="CD48" s="234"/>
      <c r="CE48" s="234"/>
      <c r="CF48" s="234"/>
      <c r="CG48" s="234"/>
      <c r="CH48" s="234"/>
      <c r="CM48" s="345"/>
      <c r="CN48" s="232"/>
    </row>
    <row r="49" spans="1:92" ht="15" thickBot="1" x14ac:dyDescent="0.4">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s="111">
        <f>ROW()</f>
        <v>49</v>
      </c>
      <c r="BD49" s="232" t="s">
        <v>224</v>
      </c>
      <c r="BE49"/>
      <c r="BF49" s="321">
        <f>BF36-BF46-BF48</f>
        <v>0</v>
      </c>
      <c r="BG49" s="321">
        <f t="shared" ref="BG49:BP49" si="43">BG36-BG46-BG48</f>
        <v>0</v>
      </c>
      <c r="BH49" s="321">
        <f t="shared" si="43"/>
        <v>15145433.462216999</v>
      </c>
      <c r="BI49" s="321">
        <f t="shared" si="43"/>
        <v>-15145433.462216999</v>
      </c>
      <c r="BJ49" s="321">
        <f t="shared" si="43"/>
        <v>0</v>
      </c>
      <c r="BK49" s="321">
        <f t="shared" si="43"/>
        <v>0</v>
      </c>
      <c r="BL49" s="321">
        <f t="shared" si="43"/>
        <v>0</v>
      </c>
      <c r="BM49" s="321">
        <f t="shared" si="43"/>
        <v>0</v>
      </c>
      <c r="BN49" s="321">
        <f t="shared" si="43"/>
        <v>0</v>
      </c>
      <c r="BO49" s="321">
        <f t="shared" si="43"/>
        <v>0</v>
      </c>
      <c r="BP49" s="321">
        <f t="shared" si="43"/>
        <v>0</v>
      </c>
      <c r="BQ49"/>
      <c r="BR49"/>
      <c r="BS49"/>
      <c r="BT49"/>
      <c r="BU49" s="345">
        <f>ROW()</f>
        <v>49</v>
      </c>
      <c r="BV49" s="1123" t="s">
        <v>1859</v>
      </c>
      <c r="BW49" s="234"/>
      <c r="BX49" s="234"/>
      <c r="BY49" s="234"/>
      <c r="BZ49" s="234"/>
      <c r="CA49" s="234"/>
      <c r="CB49" s="234"/>
      <c r="CC49" s="234"/>
      <c r="CD49" s="234"/>
      <c r="CE49" s="234"/>
      <c r="CF49" s="234"/>
      <c r="CG49" s="234"/>
      <c r="CH49" s="234"/>
      <c r="CM49" s="345"/>
      <c r="CN49" s="397"/>
    </row>
    <row r="50" spans="1:92" ht="15" thickTop="1" x14ac:dyDescent="0.3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s="111">
        <f>ROW()</f>
        <v>50</v>
      </c>
      <c r="BD50" s="397"/>
      <c r="BE50"/>
      <c r="BF50"/>
      <c r="BG50"/>
      <c r="BH50"/>
      <c r="BI50"/>
      <c r="BJ50"/>
      <c r="BK50"/>
      <c r="BL50"/>
      <c r="BM50"/>
      <c r="BN50"/>
      <c r="BO50"/>
      <c r="BP50"/>
      <c r="BQ50"/>
      <c r="BR50"/>
      <c r="BS50"/>
      <c r="BT50"/>
      <c r="BU50" s="234"/>
      <c r="BV50" s="234"/>
      <c r="BW50" s="234"/>
      <c r="BX50" s="234"/>
      <c r="BY50" s="234"/>
      <c r="BZ50" s="234"/>
      <c r="CA50" s="234"/>
      <c r="CB50" s="234"/>
      <c r="CC50" s="234"/>
      <c r="CD50" s="234"/>
      <c r="CE50" s="234"/>
      <c r="CF50" s="234"/>
      <c r="CG50" s="234"/>
      <c r="CH50" s="234"/>
    </row>
    <row r="51" spans="1:92" x14ac:dyDescent="0.3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s="111">
        <f>ROW()</f>
        <v>51</v>
      </c>
      <c r="BD51" s="249" t="s">
        <v>1797</v>
      </c>
      <c r="BE51"/>
      <c r="BF51"/>
      <c r="BG51"/>
      <c r="BH51"/>
      <c r="BI51" s="236"/>
      <c r="BJ51"/>
      <c r="BK51"/>
      <c r="BL51"/>
      <c r="BM51"/>
      <c r="BN51"/>
      <c r="BO51"/>
      <c r="BP51"/>
      <c r="BQ51"/>
      <c r="BR51"/>
      <c r="BS51"/>
      <c r="BT51"/>
    </row>
    <row r="52" spans="1:92" x14ac:dyDescent="0.3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s="111">
        <f>ROW()</f>
        <v>52</v>
      </c>
      <c r="BD52" s="249" t="s">
        <v>1660</v>
      </c>
      <c r="BE52"/>
      <c r="BF52"/>
      <c r="BG52"/>
      <c r="BH52"/>
      <c r="BI52" s="122"/>
      <c r="BJ52"/>
      <c r="BK52"/>
      <c r="BL52"/>
      <c r="BM52"/>
      <c r="BN52"/>
      <c r="BO52"/>
      <c r="BP52"/>
      <c r="BQ52"/>
      <c r="BR52"/>
      <c r="BS52"/>
      <c r="BT52"/>
    </row>
    <row r="53" spans="1:92" x14ac:dyDescent="0.3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s="111">
        <f>ROW()</f>
        <v>53</v>
      </c>
      <c r="BD53" s="249" t="s">
        <v>1661</v>
      </c>
      <c r="BE53"/>
      <c r="BF53"/>
      <c r="BG53"/>
      <c r="BH53"/>
      <c r="BI53"/>
      <c r="BJ53"/>
      <c r="BK53"/>
      <c r="BL53"/>
      <c r="BM53"/>
      <c r="BN53"/>
      <c r="BO53"/>
      <c r="BP53"/>
      <c r="BQ53"/>
      <c r="BR53"/>
      <c r="BS53"/>
      <c r="BT53"/>
    </row>
    <row r="54" spans="1:92" x14ac:dyDescent="0.3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s="111">
        <f>ROW()</f>
        <v>54</v>
      </c>
      <c r="BD54" s="249" t="s">
        <v>1662</v>
      </c>
      <c r="BE54"/>
      <c r="BF54"/>
      <c r="BG54"/>
      <c r="BH54"/>
      <c r="BI54"/>
      <c r="BJ54"/>
      <c r="BK54"/>
      <c r="BL54"/>
      <c r="BM54"/>
      <c r="BN54"/>
      <c r="BO54"/>
      <c r="BP54"/>
      <c r="BQ54"/>
      <c r="BR54"/>
      <c r="BS54"/>
      <c r="BT54"/>
    </row>
    <row r="55" spans="1:92" x14ac:dyDescent="0.3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row>
    <row r="56" spans="1:92" x14ac:dyDescent="0.3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row>
    <row r="57" spans="1:92" x14ac:dyDescent="0.3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row>
    <row r="58" spans="1:92" x14ac:dyDescent="0.3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row>
    <row r="59" spans="1:92" x14ac:dyDescent="0.3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row>
    <row r="60" spans="1:92" x14ac:dyDescent="0.3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row>
    <row r="61" spans="1:92" x14ac:dyDescent="0.3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C61"/>
      <c r="BD61"/>
      <c r="BE61"/>
      <c r="BF61"/>
      <c r="BG61"/>
      <c r="BH61"/>
      <c r="BI61"/>
      <c r="BJ61"/>
      <c r="BK61"/>
      <c r="BL61"/>
      <c r="BM61"/>
      <c r="BN61"/>
      <c r="BO61"/>
      <c r="BP61"/>
      <c r="BQ61"/>
      <c r="BR61"/>
      <c r="BS61"/>
      <c r="BT61"/>
    </row>
    <row r="62" spans="1:92" x14ac:dyDescent="0.3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C62"/>
      <c r="BD62"/>
      <c r="BE62"/>
      <c r="BF62"/>
      <c r="BG62"/>
      <c r="BH62"/>
      <c r="BI62"/>
      <c r="BJ62"/>
      <c r="BK62"/>
      <c r="BL62"/>
      <c r="BM62"/>
      <c r="BN62"/>
      <c r="BO62"/>
      <c r="BP62"/>
      <c r="BQ62"/>
      <c r="BR62"/>
      <c r="BS62"/>
      <c r="BT62"/>
    </row>
    <row r="63" spans="1:92" x14ac:dyDescent="0.3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C63"/>
      <c r="BD63"/>
      <c r="BE63"/>
      <c r="BF63"/>
      <c r="BG63"/>
      <c r="BH63"/>
      <c r="BI63"/>
      <c r="BJ63"/>
      <c r="BK63"/>
      <c r="BL63"/>
      <c r="BM63"/>
      <c r="BN63"/>
      <c r="BO63"/>
      <c r="BP63"/>
      <c r="BQ63"/>
      <c r="BR63"/>
      <c r="BS63"/>
      <c r="BT63"/>
    </row>
    <row r="64" spans="1:92" x14ac:dyDescent="0.35">
      <c r="A64"/>
      <c r="B64"/>
      <c r="C64"/>
      <c r="D64"/>
      <c r="E64"/>
      <c r="F64"/>
      <c r="G64"/>
      <c r="H64"/>
      <c r="I64"/>
      <c r="J64"/>
      <c r="K64"/>
      <c r="L64"/>
      <c r="M64"/>
      <c r="N64"/>
      <c r="O64"/>
      <c r="P64"/>
      <c r="Q64"/>
      <c r="R64"/>
      <c r="S64"/>
      <c r="T64"/>
      <c r="U64"/>
      <c r="V64"/>
      <c r="W64"/>
      <c r="X64"/>
      <c r="Y64"/>
      <c r="Z64"/>
      <c r="AA64"/>
      <c r="AB64"/>
      <c r="AC64"/>
      <c r="AD64"/>
      <c r="AE64"/>
      <c r="AF64"/>
      <c r="AG64"/>
      <c r="AH64"/>
      <c r="AI64"/>
      <c r="AJ64"/>
      <c r="BC64"/>
      <c r="BD64"/>
      <c r="BE64"/>
      <c r="BF64"/>
      <c r="BG64"/>
      <c r="BH64"/>
      <c r="BI64"/>
      <c r="BJ64"/>
      <c r="BK64"/>
      <c r="BL64"/>
      <c r="BM64"/>
      <c r="BN64"/>
      <c r="BO64"/>
      <c r="BP64"/>
      <c r="BQ64"/>
      <c r="BR64"/>
      <c r="BS64"/>
      <c r="BT64"/>
    </row>
    <row r="65" spans="37:54" customFormat="1" x14ac:dyDescent="0.35">
      <c r="AK65" s="1"/>
      <c r="AL65" s="1"/>
      <c r="AM65" s="1"/>
      <c r="AN65" s="1"/>
      <c r="AO65" s="1"/>
      <c r="AP65" s="1"/>
      <c r="AQ65" s="1"/>
      <c r="AR65" s="1"/>
      <c r="AS65" s="1"/>
      <c r="AT65" s="1"/>
      <c r="AU65" s="1"/>
      <c r="AV65" s="1"/>
      <c r="AW65" s="1"/>
      <c r="AX65" s="1"/>
      <c r="AY65" s="1"/>
      <c r="AZ65" s="1"/>
      <c r="BA65" s="1"/>
      <c r="BB65" s="1"/>
    </row>
    <row r="66" spans="37:54" customFormat="1" x14ac:dyDescent="0.35">
      <c r="AK66" s="1"/>
      <c r="AL66" s="1"/>
      <c r="AM66" s="1"/>
      <c r="AN66" s="1"/>
      <c r="AO66" s="1"/>
      <c r="AP66" s="1"/>
      <c r="AQ66" s="1"/>
      <c r="AR66" s="1"/>
      <c r="AS66" s="1"/>
      <c r="AT66" s="1"/>
      <c r="AU66" s="1"/>
      <c r="AV66" s="1"/>
      <c r="AW66" s="1"/>
      <c r="AX66" s="1"/>
      <c r="AY66" s="1"/>
      <c r="AZ66" s="1"/>
      <c r="BA66" s="1"/>
      <c r="BB66" s="1"/>
    </row>
    <row r="67" spans="37:54" customFormat="1" x14ac:dyDescent="0.35">
      <c r="AK67" s="1"/>
      <c r="AL67" s="1"/>
      <c r="AM67" s="1"/>
      <c r="AN67" s="1"/>
      <c r="AO67" s="1"/>
      <c r="AP67" s="1"/>
      <c r="AQ67" s="1"/>
      <c r="AR67" s="1"/>
      <c r="AS67" s="1"/>
      <c r="AT67" s="1"/>
      <c r="AU67" s="1"/>
      <c r="AV67" s="1"/>
      <c r="AW67" s="1"/>
      <c r="AX67" s="1"/>
      <c r="AY67" s="1"/>
      <c r="AZ67" s="1"/>
      <c r="BA67" s="1"/>
      <c r="BB67" s="1"/>
    </row>
    <row r="68" spans="37:54" customFormat="1" x14ac:dyDescent="0.35">
      <c r="AK68" s="1"/>
      <c r="AL68" s="1"/>
      <c r="AM68" s="1"/>
      <c r="AN68" s="1"/>
      <c r="AO68" s="1"/>
      <c r="AP68" s="1"/>
      <c r="AQ68" s="1"/>
      <c r="AR68" s="1"/>
      <c r="AS68" s="1"/>
      <c r="AT68" s="1"/>
      <c r="AU68" s="1"/>
      <c r="AV68" s="1"/>
      <c r="AW68" s="1"/>
      <c r="AX68" s="1"/>
      <c r="AY68" s="1"/>
      <c r="AZ68" s="1"/>
      <c r="BA68" s="1"/>
      <c r="BB68" s="1"/>
    </row>
    <row r="69" spans="37:54" customFormat="1" x14ac:dyDescent="0.35">
      <c r="AK69" s="1"/>
      <c r="AL69" s="1"/>
      <c r="AM69" s="1"/>
      <c r="AN69" s="1"/>
      <c r="AO69" s="1"/>
      <c r="AP69" s="1"/>
      <c r="AQ69" s="1"/>
      <c r="AR69" s="1"/>
      <c r="AS69" s="1"/>
      <c r="AT69" s="1"/>
      <c r="AU69" s="1"/>
      <c r="AV69" s="1"/>
      <c r="AW69" s="1"/>
      <c r="AX69" s="1"/>
      <c r="AY69" s="1"/>
      <c r="AZ69" s="1"/>
      <c r="BA69" s="1"/>
      <c r="BB69" s="1"/>
    </row>
    <row r="70" spans="37:54" customFormat="1" x14ac:dyDescent="0.35">
      <c r="AK70" s="1"/>
      <c r="AL70" s="1"/>
      <c r="AM70" s="1"/>
      <c r="AN70" s="1"/>
      <c r="AO70" s="1"/>
      <c r="AP70" s="1"/>
      <c r="AQ70" s="1"/>
      <c r="AR70" s="1"/>
      <c r="AS70" s="1"/>
      <c r="AT70" s="1"/>
      <c r="AU70" s="1"/>
      <c r="AV70" s="1"/>
      <c r="AW70" s="1"/>
      <c r="AX70" s="1"/>
      <c r="AY70" s="1"/>
      <c r="AZ70" s="1"/>
      <c r="BA70" s="1"/>
      <c r="BB70" s="1"/>
    </row>
    <row r="71" spans="37:54" customFormat="1" x14ac:dyDescent="0.35">
      <c r="AK71" s="1"/>
      <c r="AL71" s="1"/>
      <c r="AM71" s="1"/>
      <c r="AN71" s="1"/>
      <c r="AO71" s="1"/>
      <c r="AP71" s="1"/>
      <c r="AQ71" s="1"/>
      <c r="AR71" s="1"/>
      <c r="AS71" s="1"/>
      <c r="AT71" s="1"/>
      <c r="AU71" s="1"/>
      <c r="AV71" s="1"/>
      <c r="AW71" s="1"/>
      <c r="AX71" s="1"/>
      <c r="AY71" s="1"/>
      <c r="AZ71" s="1"/>
      <c r="BA71" s="1"/>
      <c r="BB71" s="1"/>
    </row>
    <row r="72" spans="37:54" customFormat="1" x14ac:dyDescent="0.35">
      <c r="AK72" s="1"/>
      <c r="AL72" s="1"/>
      <c r="AM72" s="1"/>
      <c r="AN72" s="1"/>
      <c r="AO72" s="1"/>
      <c r="AP72" s="1"/>
      <c r="AQ72" s="1"/>
      <c r="AR72" s="1"/>
      <c r="AS72" s="1"/>
      <c r="AT72" s="1"/>
      <c r="AU72" s="1"/>
      <c r="AV72" s="1"/>
      <c r="AW72" s="1"/>
      <c r="AX72" s="1"/>
      <c r="AY72" s="1"/>
      <c r="AZ72" s="1"/>
      <c r="BA72" s="1"/>
      <c r="BB72" s="1"/>
    </row>
    <row r="73" spans="37:54" customFormat="1" x14ac:dyDescent="0.35">
      <c r="AK73" s="1"/>
      <c r="AL73" s="1"/>
      <c r="AM73" s="1"/>
      <c r="AN73" s="1"/>
      <c r="AO73" s="1"/>
      <c r="AP73" s="1"/>
      <c r="AQ73" s="1"/>
      <c r="AR73" s="1"/>
      <c r="AS73" s="1"/>
      <c r="AT73" s="1"/>
      <c r="AU73" s="1"/>
      <c r="AV73" s="1"/>
      <c r="AW73" s="1"/>
      <c r="AX73" s="1"/>
      <c r="AY73" s="1"/>
      <c r="AZ73" s="1"/>
      <c r="BA73" s="1"/>
      <c r="BB73" s="1"/>
    </row>
    <row r="74" spans="37:54" customFormat="1" x14ac:dyDescent="0.35">
      <c r="AK74" s="1"/>
      <c r="AL74" s="1"/>
      <c r="AM74" s="1"/>
      <c r="AN74" s="1"/>
      <c r="AO74" s="1"/>
      <c r="AP74" s="1"/>
      <c r="AQ74" s="1"/>
      <c r="AR74" s="1"/>
      <c r="AS74" s="1"/>
      <c r="AT74" s="1"/>
      <c r="AU74" s="1"/>
      <c r="AV74" s="1"/>
      <c r="AW74" s="1"/>
      <c r="AX74" s="1"/>
      <c r="AY74" s="1"/>
      <c r="AZ74" s="1"/>
      <c r="BA74" s="1"/>
      <c r="BB74" s="1"/>
    </row>
    <row r="75" spans="37:54" customFormat="1" x14ac:dyDescent="0.35">
      <c r="AK75" s="1"/>
      <c r="AL75" s="1"/>
      <c r="AM75" s="1"/>
      <c r="AN75" s="1"/>
      <c r="AO75" s="1"/>
      <c r="AP75" s="1"/>
      <c r="AQ75" s="1"/>
      <c r="AR75" s="1"/>
      <c r="AS75" s="1"/>
      <c r="AT75" s="1"/>
      <c r="AU75" s="1"/>
      <c r="AV75" s="1"/>
      <c r="AW75" s="1"/>
      <c r="AX75" s="1"/>
      <c r="AY75" s="1"/>
      <c r="AZ75" s="1"/>
      <c r="BA75" s="1"/>
      <c r="BB75" s="1"/>
    </row>
    <row r="76" spans="37:54" customFormat="1" x14ac:dyDescent="0.35">
      <c r="AK76" s="1"/>
      <c r="AL76" s="1"/>
      <c r="AM76" s="1"/>
      <c r="AN76" s="1"/>
      <c r="AO76" s="1"/>
      <c r="AP76" s="1"/>
      <c r="AQ76" s="1"/>
      <c r="AR76" s="1"/>
      <c r="AS76" s="1"/>
      <c r="AT76" s="1"/>
      <c r="AU76" s="1"/>
      <c r="AV76" s="1"/>
      <c r="AW76" s="1"/>
      <c r="AX76" s="1"/>
      <c r="AY76" s="1"/>
      <c r="AZ76" s="1"/>
      <c r="BA76" s="1"/>
      <c r="BB76" s="1"/>
    </row>
    <row r="77" spans="37:54" customFormat="1" x14ac:dyDescent="0.35">
      <c r="AK77" s="1"/>
      <c r="AL77" s="1"/>
      <c r="AM77" s="1"/>
      <c r="AN77" s="1"/>
      <c r="AO77" s="1"/>
      <c r="AP77" s="1"/>
      <c r="AQ77" s="1"/>
      <c r="AR77" s="1"/>
      <c r="AS77" s="1"/>
      <c r="AT77" s="1"/>
      <c r="AU77" s="1"/>
      <c r="AV77" s="1"/>
      <c r="AW77" s="1"/>
      <c r="AX77" s="1"/>
      <c r="AY77" s="1"/>
      <c r="AZ77" s="1"/>
      <c r="BA77" s="1"/>
      <c r="BB77" s="1"/>
    </row>
    <row r="78" spans="37:54" customFormat="1" x14ac:dyDescent="0.35">
      <c r="AK78" s="1"/>
      <c r="AL78" s="1"/>
      <c r="AM78" s="1"/>
      <c r="AN78" s="1"/>
      <c r="AO78" s="1"/>
      <c r="AP78" s="1"/>
      <c r="AQ78" s="1"/>
      <c r="AR78" s="1"/>
      <c r="AS78" s="1"/>
      <c r="AT78" s="1"/>
      <c r="AU78" s="1"/>
      <c r="AV78" s="1"/>
      <c r="AW78" s="1"/>
      <c r="AX78" s="1"/>
      <c r="AY78" s="1"/>
      <c r="AZ78" s="1"/>
      <c r="BA78" s="1"/>
      <c r="BB78" s="1"/>
    </row>
    <row r="79" spans="37:54" customFormat="1" x14ac:dyDescent="0.35">
      <c r="AK79" s="1"/>
      <c r="AL79" s="1"/>
      <c r="AM79" s="1"/>
      <c r="AN79" s="1"/>
      <c r="AO79" s="1"/>
      <c r="AP79" s="1"/>
      <c r="AQ79" s="1"/>
      <c r="AR79" s="1"/>
      <c r="AS79" s="1"/>
      <c r="AT79" s="1"/>
      <c r="AU79" s="1"/>
      <c r="AV79" s="1"/>
      <c r="AW79" s="1"/>
      <c r="AX79" s="1"/>
      <c r="AY79" s="1"/>
      <c r="AZ79" s="1"/>
      <c r="BA79" s="1"/>
      <c r="BB79" s="1"/>
    </row>
    <row r="80" spans="37:54" customFormat="1" x14ac:dyDescent="0.35">
      <c r="AK80" s="1"/>
      <c r="AL80" s="1"/>
      <c r="AM80" s="1"/>
      <c r="AN80" s="1"/>
      <c r="AO80" s="1"/>
      <c r="AP80" s="1"/>
      <c r="AQ80" s="1"/>
      <c r="AR80" s="1"/>
      <c r="AS80" s="1"/>
      <c r="AT80" s="1"/>
      <c r="AU80" s="1"/>
      <c r="AV80" s="1"/>
      <c r="AW80" s="1"/>
      <c r="AX80" s="1"/>
      <c r="AY80" s="1"/>
      <c r="AZ80" s="1"/>
      <c r="BA80" s="1"/>
      <c r="BB80" s="1"/>
    </row>
    <row r="81" spans="55:72" x14ac:dyDescent="0.35">
      <c r="BC81"/>
      <c r="BD81"/>
      <c r="BE81"/>
      <c r="BF81"/>
      <c r="BG81"/>
      <c r="BH81"/>
      <c r="BI81"/>
      <c r="BJ81"/>
      <c r="BK81"/>
      <c r="BL81"/>
      <c r="BM81"/>
      <c r="BN81"/>
      <c r="BO81"/>
      <c r="BP81"/>
      <c r="BQ81"/>
      <c r="BR81"/>
      <c r="BS81"/>
      <c r="BT81"/>
    </row>
    <row r="82" spans="55:72" x14ac:dyDescent="0.35">
      <c r="BC82"/>
      <c r="BD82"/>
      <c r="BE82"/>
      <c r="BF82"/>
      <c r="BG82"/>
      <c r="BH82"/>
      <c r="BI82"/>
      <c r="BJ82"/>
      <c r="BK82"/>
      <c r="BL82"/>
      <c r="BM82"/>
      <c r="BN82"/>
      <c r="BO82"/>
      <c r="BP82"/>
      <c r="BQ82"/>
      <c r="BR82"/>
      <c r="BS82"/>
      <c r="BT82"/>
    </row>
    <row r="83" spans="55:72" x14ac:dyDescent="0.35">
      <c r="BC83"/>
      <c r="BD83"/>
      <c r="BE83"/>
      <c r="BF83"/>
      <c r="BG83"/>
      <c r="BH83"/>
      <c r="BI83"/>
      <c r="BJ83"/>
      <c r="BK83"/>
      <c r="BL83"/>
      <c r="BM83"/>
      <c r="BN83"/>
      <c r="BO83"/>
      <c r="BP83"/>
      <c r="BQ83"/>
      <c r="BR83"/>
      <c r="BS83"/>
      <c r="BT83"/>
    </row>
    <row r="84" spans="55:72" x14ac:dyDescent="0.35">
      <c r="BC84"/>
      <c r="BD84"/>
      <c r="BE84"/>
      <c r="BF84"/>
      <c r="BG84"/>
      <c r="BH84"/>
      <c r="BI84"/>
      <c r="BJ84"/>
      <c r="BK84"/>
      <c r="BL84"/>
      <c r="BM84"/>
      <c r="BN84"/>
      <c r="BO84"/>
      <c r="BP84"/>
      <c r="BQ84"/>
      <c r="BR84"/>
      <c r="BS84"/>
      <c r="BT84"/>
    </row>
    <row r="85" spans="55:72" x14ac:dyDescent="0.35">
      <c r="BC85"/>
      <c r="BD85"/>
      <c r="BE85"/>
      <c r="BF85"/>
      <c r="BG85"/>
      <c r="BH85"/>
      <c r="BI85"/>
      <c r="BJ85"/>
      <c r="BK85"/>
      <c r="BL85"/>
      <c r="BM85"/>
      <c r="BN85"/>
      <c r="BO85"/>
      <c r="BP85"/>
      <c r="BQ85"/>
      <c r="BR85"/>
      <c r="BS85"/>
      <c r="BT85"/>
    </row>
    <row r="86" spans="55:72" x14ac:dyDescent="0.35">
      <c r="BC86"/>
      <c r="BD86"/>
      <c r="BE86"/>
      <c r="BF86"/>
      <c r="BG86"/>
      <c r="BH86"/>
      <c r="BI86"/>
      <c r="BJ86"/>
      <c r="BK86"/>
      <c r="BL86"/>
      <c r="BM86"/>
      <c r="BN86"/>
      <c r="BO86"/>
      <c r="BP86"/>
      <c r="BQ86"/>
      <c r="BR86"/>
      <c r="BS86"/>
      <c r="BT86"/>
    </row>
    <row r="87" spans="55:72" x14ac:dyDescent="0.35">
      <c r="BC87"/>
      <c r="BD87"/>
      <c r="BE87"/>
      <c r="BF87"/>
      <c r="BG87"/>
      <c r="BH87"/>
      <c r="BI87"/>
      <c r="BJ87"/>
      <c r="BK87"/>
      <c r="BL87"/>
      <c r="BM87"/>
      <c r="BN87"/>
      <c r="BO87"/>
      <c r="BP87"/>
      <c r="BQ87"/>
      <c r="BR87"/>
      <c r="BS87"/>
      <c r="BT87"/>
    </row>
    <row r="88" spans="55:72" x14ac:dyDescent="0.35">
      <c r="BC88"/>
      <c r="BD88"/>
      <c r="BE88"/>
      <c r="BF88"/>
      <c r="BG88"/>
      <c r="BH88"/>
      <c r="BI88"/>
      <c r="BJ88"/>
      <c r="BK88"/>
      <c r="BL88"/>
      <c r="BM88"/>
      <c r="BN88"/>
      <c r="BO88"/>
      <c r="BP88"/>
      <c r="BQ88"/>
      <c r="BR88"/>
      <c r="BS88"/>
      <c r="BT88"/>
    </row>
    <row r="89" spans="55:72" x14ac:dyDescent="0.35">
      <c r="BC89"/>
      <c r="BD89"/>
      <c r="BE89"/>
      <c r="BF89"/>
      <c r="BG89"/>
      <c r="BH89"/>
      <c r="BI89"/>
      <c r="BJ89"/>
      <c r="BK89"/>
      <c r="BL89"/>
      <c r="BM89"/>
      <c r="BN89"/>
      <c r="BO89"/>
      <c r="BP89"/>
      <c r="BQ89"/>
      <c r="BR89"/>
      <c r="BS89"/>
      <c r="BT89"/>
    </row>
    <row r="90" spans="55:72" x14ac:dyDescent="0.35">
      <c r="BC90"/>
      <c r="BD90"/>
      <c r="BE90"/>
      <c r="BF90"/>
      <c r="BG90"/>
      <c r="BH90"/>
      <c r="BI90"/>
      <c r="BJ90"/>
      <c r="BK90"/>
      <c r="BL90"/>
      <c r="BM90"/>
      <c r="BN90"/>
      <c r="BO90"/>
      <c r="BP90"/>
      <c r="BQ90"/>
      <c r="BR90"/>
      <c r="BS90"/>
      <c r="BT90"/>
    </row>
    <row r="91" spans="55:72" x14ac:dyDescent="0.35">
      <c r="BC91"/>
      <c r="BD91"/>
      <c r="BE91"/>
      <c r="BF91"/>
      <c r="BG91"/>
      <c r="BH91"/>
      <c r="BI91"/>
      <c r="BJ91"/>
      <c r="BK91"/>
      <c r="BL91"/>
      <c r="BM91"/>
      <c r="BN91"/>
      <c r="BO91"/>
      <c r="BP91"/>
      <c r="BQ91"/>
      <c r="BR91"/>
      <c r="BS91"/>
      <c r="BT91"/>
    </row>
    <row r="92" spans="55:72" x14ac:dyDescent="0.35">
      <c r="BC92"/>
      <c r="BD92"/>
      <c r="BE92"/>
      <c r="BF92"/>
      <c r="BG92"/>
      <c r="BH92"/>
      <c r="BI92"/>
      <c r="BJ92"/>
      <c r="BK92"/>
      <c r="BL92"/>
      <c r="BM92"/>
      <c r="BN92"/>
      <c r="BO92"/>
      <c r="BP92"/>
      <c r="BQ92"/>
      <c r="BR92"/>
      <c r="BS92"/>
      <c r="BT92"/>
    </row>
    <row r="93" spans="55:72" x14ac:dyDescent="0.35">
      <c r="BC93"/>
      <c r="BD93"/>
      <c r="BE93"/>
      <c r="BF93"/>
      <c r="BG93"/>
      <c r="BH93"/>
      <c r="BI93"/>
      <c r="BJ93"/>
      <c r="BK93"/>
      <c r="BL93"/>
      <c r="BM93"/>
      <c r="BN93"/>
      <c r="BO93"/>
      <c r="BP93"/>
      <c r="BQ93"/>
      <c r="BR93"/>
      <c r="BS93"/>
      <c r="BT93"/>
    </row>
    <row r="94" spans="55:72" x14ac:dyDescent="0.35">
      <c r="BC94"/>
      <c r="BD94"/>
      <c r="BE94"/>
      <c r="BF94"/>
      <c r="BG94"/>
      <c r="BH94"/>
      <c r="BI94"/>
      <c r="BJ94"/>
      <c r="BK94"/>
      <c r="BL94"/>
      <c r="BM94"/>
      <c r="BN94"/>
      <c r="BO94"/>
      <c r="BP94"/>
      <c r="BQ94"/>
      <c r="BR94"/>
      <c r="BS94"/>
      <c r="BT94"/>
    </row>
    <row r="95" spans="55:72" x14ac:dyDescent="0.35">
      <c r="BC95"/>
      <c r="BD95"/>
      <c r="BE95"/>
      <c r="BF95"/>
      <c r="BG95"/>
      <c r="BH95"/>
      <c r="BI95"/>
      <c r="BJ95"/>
      <c r="BK95"/>
      <c r="BL95"/>
      <c r="BM95"/>
      <c r="BN95"/>
      <c r="BO95"/>
      <c r="BP95"/>
      <c r="BQ95"/>
      <c r="BR95"/>
      <c r="BS95"/>
      <c r="BT95"/>
    </row>
    <row r="96" spans="55:72" x14ac:dyDescent="0.35">
      <c r="BC96"/>
      <c r="BD96"/>
      <c r="BE96"/>
      <c r="BF96"/>
      <c r="BG96"/>
      <c r="BH96"/>
      <c r="BI96"/>
      <c r="BJ96"/>
      <c r="BK96"/>
      <c r="BL96"/>
      <c r="BM96"/>
      <c r="BN96"/>
      <c r="BO96"/>
      <c r="BP96"/>
      <c r="BQ96"/>
      <c r="BR96"/>
      <c r="BS96"/>
      <c r="BT96"/>
    </row>
    <row r="97" spans="55:72" x14ac:dyDescent="0.35">
      <c r="BC97"/>
      <c r="BD97"/>
      <c r="BE97"/>
      <c r="BF97"/>
      <c r="BG97"/>
      <c r="BH97"/>
      <c r="BI97"/>
      <c r="BJ97"/>
      <c r="BK97"/>
      <c r="BL97"/>
      <c r="BM97"/>
      <c r="BN97"/>
      <c r="BO97"/>
      <c r="BP97"/>
      <c r="BQ97"/>
      <c r="BR97"/>
      <c r="BS97"/>
      <c r="BT97"/>
    </row>
    <row r="98" spans="55:72" x14ac:dyDescent="0.35">
      <c r="BC98"/>
      <c r="BD98"/>
      <c r="BE98"/>
      <c r="BF98"/>
      <c r="BG98"/>
      <c r="BH98"/>
      <c r="BI98"/>
      <c r="BJ98"/>
      <c r="BK98"/>
      <c r="BL98"/>
      <c r="BM98"/>
      <c r="BN98"/>
      <c r="BO98"/>
      <c r="BP98"/>
      <c r="BQ98"/>
      <c r="BR98"/>
      <c r="BS98"/>
      <c r="BT98"/>
    </row>
    <row r="99" spans="55:72" x14ac:dyDescent="0.35">
      <c r="BC99"/>
      <c r="BD99"/>
      <c r="BE99"/>
      <c r="BF99"/>
      <c r="BG99"/>
      <c r="BH99"/>
      <c r="BI99"/>
      <c r="BJ99"/>
      <c r="BK99"/>
      <c r="BL99"/>
      <c r="BM99"/>
      <c r="BN99"/>
      <c r="BO99"/>
      <c r="BP99"/>
      <c r="BQ99"/>
      <c r="BR99"/>
      <c r="BS99"/>
      <c r="BT99"/>
    </row>
    <row r="100" spans="55:72" x14ac:dyDescent="0.35">
      <c r="BC100"/>
      <c r="BD100"/>
      <c r="BE100"/>
      <c r="BF100"/>
      <c r="BG100"/>
      <c r="BH100"/>
      <c r="BI100"/>
      <c r="BJ100"/>
      <c r="BK100"/>
      <c r="BL100"/>
      <c r="BM100"/>
      <c r="BN100"/>
      <c r="BO100"/>
      <c r="BP100"/>
      <c r="BQ100"/>
      <c r="BR100"/>
      <c r="BS100"/>
      <c r="BT100"/>
    </row>
    <row r="101" spans="55:72" x14ac:dyDescent="0.35">
      <c r="BC101"/>
      <c r="BD101"/>
      <c r="BE101"/>
      <c r="BF101"/>
      <c r="BG101"/>
      <c r="BH101"/>
      <c r="BI101"/>
      <c r="BJ101"/>
      <c r="BK101"/>
      <c r="BL101"/>
      <c r="BM101"/>
      <c r="BN101"/>
      <c r="BO101"/>
      <c r="BP101"/>
      <c r="BQ101"/>
      <c r="BR101"/>
      <c r="BS101"/>
      <c r="BT101"/>
    </row>
    <row r="102" spans="55:72" x14ac:dyDescent="0.35">
      <c r="BC102"/>
      <c r="BD102"/>
      <c r="BE102"/>
      <c r="BF102"/>
      <c r="BG102"/>
      <c r="BH102"/>
      <c r="BI102"/>
      <c r="BJ102"/>
      <c r="BK102"/>
      <c r="BL102"/>
      <c r="BM102"/>
      <c r="BN102"/>
      <c r="BO102"/>
      <c r="BP102"/>
      <c r="BQ102"/>
      <c r="BR102"/>
      <c r="BS102"/>
      <c r="BT102"/>
    </row>
    <row r="103" spans="55:72" x14ac:dyDescent="0.35">
      <c r="BC103"/>
      <c r="BD103"/>
      <c r="BE103"/>
      <c r="BF103"/>
      <c r="BG103"/>
      <c r="BH103"/>
      <c r="BI103"/>
      <c r="BJ103"/>
      <c r="BK103"/>
      <c r="BL103"/>
      <c r="BM103"/>
      <c r="BN103"/>
      <c r="BO103"/>
      <c r="BP103"/>
      <c r="BQ103"/>
      <c r="BR103"/>
      <c r="BS103"/>
      <c r="BT103"/>
    </row>
    <row r="104" spans="55:72" x14ac:dyDescent="0.35">
      <c r="BC104"/>
      <c r="BD104"/>
      <c r="BE104"/>
      <c r="BF104"/>
      <c r="BG104"/>
      <c r="BH104"/>
      <c r="BI104"/>
      <c r="BJ104"/>
      <c r="BK104"/>
      <c r="BL104"/>
      <c r="BM104"/>
      <c r="BN104"/>
      <c r="BO104"/>
      <c r="BP104"/>
      <c r="BQ104"/>
      <c r="BR104"/>
      <c r="BS104"/>
      <c r="BT104"/>
    </row>
    <row r="105" spans="55:72" x14ac:dyDescent="0.35">
      <c r="BC105"/>
      <c r="BD105"/>
      <c r="BE105"/>
      <c r="BF105"/>
      <c r="BG105"/>
      <c r="BH105"/>
      <c r="BI105"/>
      <c r="BJ105"/>
      <c r="BK105"/>
      <c r="BL105"/>
      <c r="BM105"/>
      <c r="BN105"/>
      <c r="BO105"/>
      <c r="BP105"/>
      <c r="BQ105"/>
      <c r="BR105"/>
      <c r="BS105"/>
      <c r="BT105"/>
    </row>
    <row r="106" spans="55:72" x14ac:dyDescent="0.35">
      <c r="BC106"/>
      <c r="BD106"/>
      <c r="BE106"/>
      <c r="BF106"/>
      <c r="BG106"/>
      <c r="BH106"/>
      <c r="BI106"/>
      <c r="BJ106"/>
      <c r="BK106"/>
      <c r="BL106"/>
      <c r="BM106"/>
      <c r="BN106"/>
      <c r="BO106"/>
      <c r="BP106"/>
      <c r="BQ106"/>
      <c r="BR106"/>
      <c r="BS106"/>
      <c r="BT106"/>
    </row>
    <row r="107" spans="55:72" x14ac:dyDescent="0.35">
      <c r="BC107"/>
      <c r="BD107"/>
      <c r="BE107"/>
      <c r="BF107"/>
      <c r="BG107"/>
      <c r="BH107"/>
      <c r="BI107"/>
      <c r="BJ107"/>
      <c r="BK107"/>
      <c r="BL107"/>
      <c r="BM107"/>
      <c r="BN107"/>
      <c r="BO107"/>
      <c r="BP107"/>
      <c r="BQ107"/>
      <c r="BR107"/>
      <c r="BS107"/>
      <c r="BT107"/>
    </row>
    <row r="108" spans="55:72" x14ac:dyDescent="0.35">
      <c r="BC108"/>
      <c r="BD108"/>
      <c r="BE108"/>
      <c r="BF108"/>
      <c r="BG108"/>
      <c r="BH108"/>
      <c r="BI108"/>
      <c r="BJ108"/>
      <c r="BK108"/>
      <c r="BL108"/>
      <c r="BM108"/>
      <c r="BN108"/>
      <c r="BO108"/>
      <c r="BP108"/>
      <c r="BQ108"/>
      <c r="BR108"/>
      <c r="BS108"/>
      <c r="BT108"/>
    </row>
    <row r="109" spans="55:72" x14ac:dyDescent="0.35">
      <c r="BC109"/>
      <c r="BD109"/>
      <c r="BE109"/>
      <c r="BF109"/>
      <c r="BG109"/>
      <c r="BH109"/>
      <c r="BI109"/>
      <c r="BJ109"/>
      <c r="BK109"/>
      <c r="BL109"/>
      <c r="BM109"/>
      <c r="BN109"/>
      <c r="BO109"/>
      <c r="BP109"/>
      <c r="BQ109"/>
      <c r="BR109"/>
      <c r="BS109"/>
      <c r="BT109"/>
    </row>
    <row r="110" spans="55:72" x14ac:dyDescent="0.35">
      <c r="BC110"/>
      <c r="BD110"/>
      <c r="BE110"/>
      <c r="BF110"/>
      <c r="BG110"/>
      <c r="BH110"/>
      <c r="BI110"/>
      <c r="BJ110"/>
      <c r="BK110"/>
      <c r="BL110"/>
      <c r="BM110"/>
      <c r="BN110"/>
      <c r="BO110"/>
      <c r="BP110"/>
      <c r="BQ110"/>
      <c r="BR110"/>
      <c r="BS110"/>
      <c r="BT110"/>
    </row>
    <row r="111" spans="55:72" x14ac:dyDescent="0.35">
      <c r="BC111"/>
      <c r="BD111"/>
      <c r="BE111"/>
      <c r="BF111"/>
      <c r="BG111"/>
      <c r="BH111"/>
      <c r="BI111"/>
      <c r="BJ111"/>
      <c r="BK111"/>
      <c r="BL111"/>
      <c r="BM111"/>
      <c r="BN111"/>
      <c r="BO111"/>
      <c r="BP111"/>
      <c r="BQ111"/>
      <c r="BR111"/>
      <c r="BS111"/>
      <c r="BT111"/>
    </row>
    <row r="112" spans="55:72" x14ac:dyDescent="0.35">
      <c r="BC112"/>
      <c r="BD112"/>
      <c r="BE112"/>
      <c r="BF112"/>
      <c r="BG112"/>
      <c r="BH112"/>
      <c r="BI112"/>
      <c r="BJ112"/>
      <c r="BK112"/>
      <c r="BL112"/>
      <c r="BM112"/>
      <c r="BN112"/>
      <c r="BO112"/>
      <c r="BP112"/>
      <c r="BQ112"/>
      <c r="BR112"/>
      <c r="BS112"/>
      <c r="BT112"/>
    </row>
    <row r="113" spans="55:72" x14ac:dyDescent="0.35">
      <c r="BC113"/>
      <c r="BD113"/>
      <c r="BE113"/>
      <c r="BF113"/>
      <c r="BG113"/>
      <c r="BH113"/>
      <c r="BI113"/>
      <c r="BJ113"/>
      <c r="BK113"/>
      <c r="BL113"/>
      <c r="BM113"/>
      <c r="BN113"/>
      <c r="BO113"/>
      <c r="BP113"/>
      <c r="BQ113"/>
      <c r="BR113"/>
      <c r="BS113"/>
      <c r="BT113"/>
    </row>
    <row r="114" spans="55:72" x14ac:dyDescent="0.35">
      <c r="BC114"/>
      <c r="BD114"/>
      <c r="BE114"/>
      <c r="BF114"/>
      <c r="BG114"/>
      <c r="BH114"/>
      <c r="BI114"/>
      <c r="BJ114"/>
      <c r="BK114"/>
      <c r="BL114"/>
      <c r="BM114"/>
      <c r="BN114"/>
      <c r="BO114"/>
      <c r="BP114"/>
      <c r="BQ114"/>
      <c r="BR114"/>
      <c r="BS114"/>
      <c r="BT114"/>
    </row>
    <row r="115" spans="55:72" x14ac:dyDescent="0.35">
      <c r="BC115"/>
      <c r="BD115"/>
      <c r="BE115"/>
      <c r="BF115"/>
      <c r="BG115"/>
      <c r="BH115"/>
      <c r="BI115"/>
      <c r="BJ115"/>
      <c r="BK115"/>
      <c r="BL115"/>
      <c r="BM115"/>
      <c r="BN115"/>
      <c r="BO115"/>
      <c r="BP115"/>
      <c r="BQ115"/>
      <c r="BR115"/>
      <c r="BS115"/>
      <c r="BT115"/>
    </row>
    <row r="116" spans="55:72" x14ac:dyDescent="0.35">
      <c r="BC116"/>
      <c r="BD116"/>
      <c r="BE116"/>
      <c r="BF116"/>
      <c r="BG116"/>
      <c r="BH116"/>
      <c r="BI116"/>
      <c r="BJ116"/>
      <c r="BK116"/>
      <c r="BL116"/>
      <c r="BM116"/>
      <c r="BN116"/>
      <c r="BO116"/>
      <c r="BP116"/>
      <c r="BQ116"/>
      <c r="BR116"/>
      <c r="BS116"/>
      <c r="BT116"/>
    </row>
    <row r="117" spans="55:72" x14ac:dyDescent="0.35">
      <c r="BC117"/>
      <c r="BD117"/>
      <c r="BE117"/>
      <c r="BF117"/>
      <c r="BG117"/>
      <c r="BH117"/>
      <c r="BI117"/>
      <c r="BJ117"/>
      <c r="BK117"/>
      <c r="BL117"/>
      <c r="BM117"/>
      <c r="BN117"/>
      <c r="BO117"/>
      <c r="BP117"/>
      <c r="BQ117"/>
      <c r="BR117"/>
      <c r="BS117"/>
      <c r="BT117"/>
    </row>
    <row r="118" spans="55:72" x14ac:dyDescent="0.35">
      <c r="BC118"/>
      <c r="BD118"/>
      <c r="BE118"/>
      <c r="BF118"/>
      <c r="BG118"/>
      <c r="BH118"/>
      <c r="BI118"/>
      <c r="BJ118"/>
      <c r="BK118"/>
      <c r="BL118"/>
      <c r="BM118"/>
      <c r="BN118"/>
      <c r="BO118"/>
      <c r="BP118"/>
      <c r="BQ118"/>
      <c r="BR118"/>
      <c r="BS118"/>
      <c r="BT118"/>
    </row>
    <row r="119" spans="55:72" x14ac:dyDescent="0.35">
      <c r="BC119"/>
      <c r="BD119"/>
      <c r="BE119"/>
      <c r="BF119"/>
      <c r="BG119"/>
      <c r="BH119"/>
      <c r="BI119"/>
      <c r="BJ119"/>
      <c r="BK119"/>
      <c r="BL119"/>
      <c r="BM119"/>
      <c r="BN119"/>
      <c r="BO119"/>
      <c r="BP119"/>
      <c r="BQ119"/>
      <c r="BR119"/>
      <c r="BS119"/>
      <c r="BT119"/>
    </row>
    <row r="120" spans="55:72" x14ac:dyDescent="0.35">
      <c r="BC120"/>
      <c r="BD120"/>
      <c r="BE120"/>
      <c r="BF120"/>
      <c r="BG120"/>
      <c r="BH120"/>
      <c r="BI120"/>
      <c r="BJ120"/>
      <c r="BK120"/>
      <c r="BL120"/>
      <c r="BM120"/>
      <c r="BN120"/>
      <c r="BO120"/>
      <c r="BP120"/>
      <c r="BQ120"/>
      <c r="BR120"/>
      <c r="BS120"/>
      <c r="BT120"/>
    </row>
    <row r="121" spans="55:72" x14ac:dyDescent="0.35">
      <c r="BC121"/>
      <c r="BD121"/>
      <c r="BE121"/>
      <c r="BF121"/>
      <c r="BG121"/>
      <c r="BH121"/>
      <c r="BI121"/>
      <c r="BJ121"/>
      <c r="BK121"/>
      <c r="BL121"/>
      <c r="BM121"/>
      <c r="BN121"/>
      <c r="BO121"/>
      <c r="BP121"/>
      <c r="BQ121"/>
      <c r="BR121"/>
      <c r="BS121"/>
      <c r="BT121"/>
    </row>
    <row r="122" spans="55:72" x14ac:dyDescent="0.35">
      <c r="BC122"/>
      <c r="BD122"/>
      <c r="BE122"/>
      <c r="BF122"/>
      <c r="BG122"/>
      <c r="BH122"/>
      <c r="BI122"/>
      <c r="BJ122"/>
      <c r="BK122"/>
      <c r="BL122"/>
      <c r="BM122"/>
      <c r="BN122"/>
      <c r="BO122"/>
      <c r="BP122"/>
      <c r="BQ122"/>
      <c r="BR122"/>
      <c r="BS122"/>
      <c r="BT122"/>
    </row>
    <row r="123" spans="55:72" x14ac:dyDescent="0.35">
      <c r="BC123"/>
      <c r="BD123"/>
      <c r="BE123"/>
      <c r="BF123"/>
      <c r="BG123"/>
      <c r="BH123"/>
      <c r="BI123"/>
      <c r="BJ123"/>
      <c r="BK123"/>
      <c r="BL123"/>
      <c r="BM123"/>
      <c r="BN123"/>
      <c r="BO123"/>
      <c r="BP123"/>
      <c r="BQ123"/>
      <c r="BR123"/>
      <c r="BS123"/>
      <c r="BT123"/>
    </row>
    <row r="124" spans="55:72" x14ac:dyDescent="0.35">
      <c r="BC124"/>
      <c r="BD124"/>
      <c r="BE124"/>
      <c r="BF124"/>
      <c r="BG124"/>
      <c r="BH124"/>
      <c r="BI124"/>
      <c r="BJ124"/>
      <c r="BK124"/>
      <c r="BL124"/>
      <c r="BM124"/>
      <c r="BN124"/>
      <c r="BO124"/>
      <c r="BP124"/>
      <c r="BQ124"/>
      <c r="BR124"/>
      <c r="BS124"/>
      <c r="BT124"/>
    </row>
    <row r="125" spans="55:72" x14ac:dyDescent="0.35">
      <c r="BC125"/>
      <c r="BD125"/>
      <c r="BE125"/>
      <c r="BF125"/>
      <c r="BG125"/>
      <c r="BH125"/>
      <c r="BI125"/>
      <c r="BJ125"/>
      <c r="BK125"/>
      <c r="BL125"/>
      <c r="BM125"/>
      <c r="BN125"/>
      <c r="BO125"/>
      <c r="BP125"/>
      <c r="BQ125"/>
      <c r="BR125"/>
      <c r="BS125"/>
      <c r="BT125"/>
    </row>
    <row r="126" spans="55:72" x14ac:dyDescent="0.35">
      <c r="BC126"/>
      <c r="BD126"/>
      <c r="BE126"/>
      <c r="BF126"/>
      <c r="BG126"/>
      <c r="BH126"/>
      <c r="BI126"/>
      <c r="BJ126"/>
      <c r="BK126"/>
      <c r="BL126"/>
      <c r="BM126"/>
      <c r="BN126"/>
      <c r="BO126"/>
      <c r="BP126"/>
      <c r="BQ126"/>
      <c r="BR126"/>
      <c r="BS126"/>
      <c r="BT126"/>
    </row>
    <row r="127" spans="55:72" x14ac:dyDescent="0.35">
      <c r="BC127"/>
      <c r="BD127"/>
      <c r="BE127"/>
      <c r="BF127"/>
      <c r="BG127"/>
      <c r="BH127"/>
      <c r="BI127"/>
      <c r="BJ127"/>
      <c r="BK127"/>
      <c r="BL127"/>
      <c r="BM127"/>
      <c r="BN127"/>
      <c r="BO127"/>
      <c r="BP127"/>
      <c r="BQ127"/>
      <c r="BR127"/>
      <c r="BS127"/>
      <c r="BT127"/>
    </row>
    <row r="128" spans="55:72" x14ac:dyDescent="0.35">
      <c r="BC128"/>
      <c r="BD128"/>
      <c r="BE128"/>
      <c r="BF128"/>
      <c r="BG128"/>
      <c r="BH128"/>
      <c r="BI128"/>
      <c r="BJ128"/>
      <c r="BK128"/>
      <c r="BL128"/>
      <c r="BM128"/>
      <c r="BN128"/>
      <c r="BO128"/>
      <c r="BP128"/>
      <c r="BQ128"/>
      <c r="BR128"/>
      <c r="BS128"/>
      <c r="BT128"/>
    </row>
    <row r="129" spans="55:72" x14ac:dyDescent="0.35">
      <c r="BC129"/>
      <c r="BD129"/>
      <c r="BE129"/>
      <c r="BF129"/>
      <c r="BG129"/>
      <c r="BH129"/>
      <c r="BI129"/>
      <c r="BJ129"/>
      <c r="BK129"/>
      <c r="BL129"/>
      <c r="BM129"/>
      <c r="BN129"/>
      <c r="BO129"/>
      <c r="BP129"/>
      <c r="BQ129"/>
      <c r="BR129"/>
      <c r="BS129"/>
      <c r="BT129"/>
    </row>
    <row r="130" spans="55:72" x14ac:dyDescent="0.35">
      <c r="BC130"/>
      <c r="BD130"/>
      <c r="BE130"/>
      <c r="BF130"/>
      <c r="BG130"/>
      <c r="BH130"/>
      <c r="BI130"/>
      <c r="BJ130"/>
      <c r="BK130"/>
      <c r="BL130"/>
      <c r="BM130"/>
      <c r="BN130"/>
      <c r="BO130"/>
      <c r="BP130"/>
      <c r="BQ130"/>
      <c r="BR130"/>
      <c r="BS130"/>
      <c r="BT130"/>
    </row>
    <row r="131" spans="55:72" x14ac:dyDescent="0.35">
      <c r="BC131"/>
      <c r="BD131"/>
      <c r="BE131"/>
      <c r="BF131"/>
      <c r="BG131"/>
      <c r="BH131"/>
      <c r="BI131"/>
      <c r="BJ131"/>
      <c r="BK131"/>
      <c r="BL131"/>
      <c r="BM131"/>
      <c r="BN131"/>
      <c r="BO131"/>
      <c r="BP131"/>
      <c r="BQ131"/>
      <c r="BR131"/>
      <c r="BS131"/>
      <c r="BT131"/>
    </row>
    <row r="132" spans="55:72" x14ac:dyDescent="0.35">
      <c r="BC132"/>
      <c r="BD132"/>
      <c r="BE132"/>
      <c r="BF132"/>
      <c r="BG132"/>
      <c r="BH132"/>
      <c r="BI132"/>
      <c r="BJ132"/>
      <c r="BK132"/>
      <c r="BL132"/>
      <c r="BM132"/>
      <c r="BN132"/>
      <c r="BO132"/>
      <c r="BP132"/>
      <c r="BQ132"/>
      <c r="BR132"/>
      <c r="BS132"/>
      <c r="BT132"/>
    </row>
    <row r="133" spans="55:72" x14ac:dyDescent="0.35">
      <c r="BC133"/>
      <c r="BD133"/>
      <c r="BE133"/>
      <c r="BF133"/>
      <c r="BG133"/>
      <c r="BH133"/>
      <c r="BI133"/>
      <c r="BJ133"/>
      <c r="BK133"/>
      <c r="BL133"/>
      <c r="BM133"/>
      <c r="BN133"/>
      <c r="BO133"/>
      <c r="BP133"/>
      <c r="BQ133"/>
      <c r="BR133"/>
      <c r="BS133"/>
      <c r="BT133"/>
    </row>
    <row r="134" spans="55:72" x14ac:dyDescent="0.35">
      <c r="BC134"/>
      <c r="BD134"/>
      <c r="BE134"/>
      <c r="BF134"/>
      <c r="BG134"/>
      <c r="BH134"/>
      <c r="BI134"/>
      <c r="BJ134"/>
      <c r="BK134"/>
      <c r="BL134"/>
      <c r="BM134"/>
      <c r="BN134"/>
      <c r="BO134"/>
      <c r="BP134"/>
      <c r="BQ134"/>
      <c r="BR134"/>
      <c r="BS134"/>
      <c r="BT134"/>
    </row>
    <row r="135" spans="55:72" x14ac:dyDescent="0.35">
      <c r="BC135"/>
      <c r="BD135"/>
      <c r="BE135"/>
      <c r="BF135"/>
      <c r="BG135"/>
      <c r="BH135"/>
      <c r="BI135"/>
      <c r="BJ135"/>
      <c r="BK135"/>
      <c r="BL135"/>
      <c r="BM135"/>
      <c r="BN135"/>
      <c r="BO135"/>
      <c r="BP135"/>
      <c r="BQ135"/>
      <c r="BR135"/>
      <c r="BS135"/>
      <c r="BT135"/>
    </row>
    <row r="136" spans="55:72" x14ac:dyDescent="0.35">
      <c r="BC136"/>
      <c r="BD136"/>
      <c r="BE136"/>
      <c r="BF136"/>
      <c r="BG136"/>
      <c r="BH136"/>
      <c r="BI136"/>
      <c r="BJ136"/>
      <c r="BK136"/>
      <c r="BL136"/>
      <c r="BM136"/>
      <c r="BN136"/>
      <c r="BO136"/>
      <c r="BP136"/>
      <c r="BQ136"/>
      <c r="BR136"/>
      <c r="BS136"/>
      <c r="BT136"/>
    </row>
    <row r="137" spans="55:72" x14ac:dyDescent="0.35">
      <c r="BC137"/>
      <c r="BD137"/>
      <c r="BE137"/>
      <c r="BF137"/>
      <c r="BG137"/>
      <c r="BH137"/>
      <c r="BI137"/>
      <c r="BJ137"/>
      <c r="BK137"/>
      <c r="BL137"/>
      <c r="BM137"/>
      <c r="BN137"/>
      <c r="BO137"/>
      <c r="BP137"/>
      <c r="BQ137"/>
      <c r="BR137"/>
      <c r="BS137"/>
      <c r="BT137"/>
    </row>
    <row r="138" spans="55:72" x14ac:dyDescent="0.35">
      <c r="BC138"/>
      <c r="BD138"/>
      <c r="BE138"/>
      <c r="BF138"/>
      <c r="BG138"/>
      <c r="BH138"/>
      <c r="BI138"/>
      <c r="BJ138"/>
      <c r="BK138"/>
      <c r="BL138"/>
      <c r="BM138"/>
      <c r="BN138"/>
      <c r="BO138"/>
      <c r="BP138"/>
      <c r="BQ138"/>
      <c r="BR138"/>
      <c r="BS138"/>
      <c r="BT138"/>
    </row>
    <row r="139" spans="55:72" x14ac:dyDescent="0.35">
      <c r="BC139"/>
      <c r="BD139"/>
      <c r="BE139"/>
      <c r="BF139"/>
      <c r="BG139"/>
      <c r="BH139"/>
      <c r="BI139"/>
      <c r="BJ139"/>
      <c r="BK139"/>
      <c r="BL139"/>
      <c r="BM139"/>
      <c r="BN139"/>
      <c r="BO139"/>
      <c r="BP139"/>
      <c r="BQ139"/>
      <c r="BR139"/>
      <c r="BS139"/>
      <c r="BT139"/>
    </row>
    <row r="140" spans="55:72" x14ac:dyDescent="0.35">
      <c r="BC140"/>
      <c r="BD140"/>
      <c r="BE140"/>
      <c r="BF140"/>
      <c r="BG140"/>
      <c r="BH140"/>
      <c r="BI140"/>
      <c r="BJ140"/>
      <c r="BK140"/>
      <c r="BL140"/>
      <c r="BM140"/>
      <c r="BN140"/>
      <c r="BO140"/>
      <c r="BP140"/>
      <c r="BQ140"/>
      <c r="BR140"/>
      <c r="BS140"/>
      <c r="BT140"/>
    </row>
    <row r="141" spans="55:72" x14ac:dyDescent="0.35">
      <c r="BC141"/>
      <c r="BD141"/>
      <c r="BE141"/>
      <c r="BF141"/>
      <c r="BG141"/>
      <c r="BH141"/>
      <c r="BI141"/>
      <c r="BJ141"/>
      <c r="BK141"/>
      <c r="BL141"/>
      <c r="BM141"/>
      <c r="BN141"/>
      <c r="BO141"/>
      <c r="BP141"/>
      <c r="BQ141"/>
      <c r="BR141"/>
      <c r="BS141"/>
      <c r="BT141"/>
    </row>
    <row r="142" spans="55:72" x14ac:dyDescent="0.35">
      <c r="BC142"/>
      <c r="BD142"/>
      <c r="BE142"/>
      <c r="BF142"/>
      <c r="BG142"/>
      <c r="BH142"/>
      <c r="BI142"/>
      <c r="BJ142"/>
      <c r="BK142"/>
      <c r="BL142"/>
      <c r="BM142"/>
      <c r="BN142"/>
      <c r="BO142"/>
      <c r="BP142"/>
      <c r="BQ142"/>
      <c r="BR142"/>
      <c r="BS142"/>
      <c r="BT142"/>
    </row>
    <row r="143" spans="55:72" x14ac:dyDescent="0.35">
      <c r="BC143"/>
      <c r="BD143"/>
      <c r="BE143"/>
      <c r="BF143"/>
      <c r="BG143"/>
      <c r="BH143"/>
      <c r="BI143"/>
      <c r="BJ143"/>
      <c r="BK143"/>
      <c r="BL143"/>
      <c r="BM143"/>
      <c r="BN143"/>
      <c r="BO143"/>
      <c r="BP143"/>
      <c r="BQ143"/>
      <c r="BR143"/>
      <c r="BS143"/>
      <c r="BT143"/>
    </row>
    <row r="144" spans="55:72" x14ac:dyDescent="0.35">
      <c r="BC144"/>
      <c r="BD144"/>
      <c r="BE144"/>
      <c r="BF144"/>
      <c r="BG144"/>
      <c r="BH144"/>
      <c r="BI144"/>
      <c r="BJ144"/>
      <c r="BK144"/>
      <c r="BL144"/>
      <c r="BM144"/>
      <c r="BN144"/>
      <c r="BO144"/>
      <c r="BP144"/>
      <c r="BQ144"/>
      <c r="BR144"/>
      <c r="BS144"/>
      <c r="BT144"/>
    </row>
    <row r="145" spans="55:72" x14ac:dyDescent="0.35">
      <c r="BC145"/>
      <c r="BD145"/>
      <c r="BE145"/>
      <c r="BF145"/>
      <c r="BG145"/>
      <c r="BH145"/>
      <c r="BI145"/>
      <c r="BJ145"/>
      <c r="BK145"/>
      <c r="BL145"/>
      <c r="BM145"/>
      <c r="BN145"/>
      <c r="BO145"/>
      <c r="BP145"/>
      <c r="BQ145"/>
      <c r="BR145"/>
      <c r="BS145"/>
      <c r="BT145"/>
    </row>
    <row r="146" spans="55:72" x14ac:dyDescent="0.35">
      <c r="BC146"/>
      <c r="BD146"/>
      <c r="BE146"/>
      <c r="BF146"/>
      <c r="BG146"/>
      <c r="BH146"/>
      <c r="BI146"/>
      <c r="BJ146"/>
      <c r="BK146"/>
      <c r="BL146"/>
      <c r="BM146"/>
      <c r="BN146"/>
      <c r="BO146"/>
      <c r="BP146"/>
      <c r="BQ146"/>
      <c r="BR146"/>
      <c r="BS146"/>
      <c r="BT146"/>
    </row>
    <row r="147" spans="55:72" x14ac:dyDescent="0.35">
      <c r="BC147"/>
      <c r="BD147"/>
      <c r="BE147"/>
      <c r="BF147"/>
      <c r="BG147"/>
      <c r="BH147"/>
      <c r="BI147"/>
      <c r="BJ147"/>
      <c r="BK147"/>
      <c r="BL147"/>
      <c r="BM147"/>
      <c r="BN147"/>
      <c r="BO147"/>
      <c r="BP147"/>
      <c r="BQ147"/>
      <c r="BR147"/>
      <c r="BS147"/>
      <c r="BT147"/>
    </row>
    <row r="148" spans="55:72" x14ac:dyDescent="0.35">
      <c r="BC148"/>
      <c r="BD148"/>
      <c r="BE148"/>
      <c r="BF148"/>
      <c r="BG148"/>
      <c r="BH148"/>
      <c r="BI148"/>
      <c r="BJ148"/>
      <c r="BK148"/>
      <c r="BL148"/>
      <c r="BM148"/>
      <c r="BN148"/>
      <c r="BO148"/>
      <c r="BP148"/>
      <c r="BQ148"/>
      <c r="BR148"/>
      <c r="BS148"/>
      <c r="BT148"/>
    </row>
    <row r="149" spans="55:72" x14ac:dyDescent="0.35">
      <c r="BC149"/>
      <c r="BD149"/>
      <c r="BE149"/>
      <c r="BF149"/>
      <c r="BG149"/>
      <c r="BH149"/>
      <c r="BI149"/>
      <c r="BJ149"/>
      <c r="BK149"/>
      <c r="BL149"/>
      <c r="BM149"/>
      <c r="BN149"/>
      <c r="BO149"/>
      <c r="BP149"/>
      <c r="BQ149"/>
      <c r="BR149"/>
      <c r="BS149"/>
      <c r="BT149"/>
    </row>
    <row r="150" spans="55:72" x14ac:dyDescent="0.35">
      <c r="BC150"/>
      <c r="BD150"/>
      <c r="BE150"/>
      <c r="BF150"/>
      <c r="BG150"/>
      <c r="BH150"/>
      <c r="BI150"/>
      <c r="BJ150"/>
      <c r="BK150"/>
      <c r="BL150"/>
      <c r="BM150"/>
      <c r="BN150"/>
      <c r="BO150"/>
      <c r="BP150"/>
      <c r="BQ150"/>
      <c r="BR150"/>
      <c r="BS150"/>
      <c r="BT150"/>
    </row>
    <row r="151" spans="55:72" x14ac:dyDescent="0.35">
      <c r="BC151"/>
      <c r="BD151"/>
      <c r="BE151"/>
      <c r="BF151"/>
      <c r="BG151"/>
      <c r="BH151"/>
      <c r="BI151"/>
      <c r="BJ151"/>
      <c r="BK151"/>
      <c r="BL151"/>
      <c r="BM151"/>
      <c r="BN151"/>
      <c r="BO151"/>
      <c r="BP151"/>
      <c r="BQ151"/>
      <c r="BR151"/>
      <c r="BS151"/>
      <c r="BT151"/>
    </row>
    <row r="152" spans="55:72" x14ac:dyDescent="0.35">
      <c r="BC152"/>
      <c r="BD152"/>
      <c r="BE152"/>
      <c r="BF152"/>
      <c r="BG152"/>
      <c r="BH152"/>
      <c r="BI152"/>
      <c r="BJ152"/>
      <c r="BK152"/>
      <c r="BL152"/>
      <c r="BM152"/>
      <c r="BN152"/>
      <c r="BO152"/>
      <c r="BP152"/>
      <c r="BQ152"/>
      <c r="BR152"/>
      <c r="BS152"/>
      <c r="BT152"/>
    </row>
    <row r="153" spans="55:72" x14ac:dyDescent="0.35">
      <c r="BC153"/>
      <c r="BD153"/>
      <c r="BE153"/>
      <c r="BF153"/>
      <c r="BG153"/>
      <c r="BH153"/>
      <c r="BI153"/>
      <c r="BJ153"/>
      <c r="BK153"/>
      <c r="BL153"/>
      <c r="BM153"/>
      <c r="BN153"/>
      <c r="BO153"/>
      <c r="BP153"/>
      <c r="BQ153"/>
      <c r="BR153"/>
      <c r="BS153"/>
      <c r="BT153"/>
    </row>
    <row r="154" spans="55:72" x14ac:dyDescent="0.35">
      <c r="BC154"/>
      <c r="BD154"/>
      <c r="BE154"/>
      <c r="BF154"/>
      <c r="BG154"/>
      <c r="BH154"/>
      <c r="BI154"/>
      <c r="BJ154"/>
      <c r="BK154"/>
      <c r="BL154"/>
      <c r="BM154"/>
      <c r="BN154"/>
      <c r="BO154"/>
      <c r="BP154"/>
      <c r="BQ154"/>
      <c r="BR154"/>
      <c r="BS154"/>
      <c r="BT154"/>
    </row>
    <row r="155" spans="55:72" x14ac:dyDescent="0.35">
      <c r="BC155"/>
      <c r="BD155"/>
      <c r="BE155"/>
      <c r="BF155"/>
      <c r="BG155"/>
      <c r="BH155"/>
      <c r="BI155"/>
      <c r="BJ155"/>
      <c r="BK155"/>
      <c r="BL155"/>
      <c r="BM155"/>
      <c r="BN155"/>
      <c r="BO155"/>
      <c r="BP155"/>
      <c r="BQ155"/>
      <c r="BR155"/>
      <c r="BS155"/>
      <c r="BT155"/>
    </row>
    <row r="156" spans="55:72" x14ac:dyDescent="0.35">
      <c r="BC156"/>
      <c r="BD156"/>
      <c r="BE156"/>
      <c r="BF156"/>
      <c r="BG156"/>
      <c r="BH156"/>
      <c r="BI156"/>
      <c r="BJ156"/>
      <c r="BK156"/>
      <c r="BL156"/>
      <c r="BM156"/>
      <c r="BN156"/>
      <c r="BO156"/>
      <c r="BP156"/>
      <c r="BQ156"/>
      <c r="BR156"/>
      <c r="BS156"/>
      <c r="BT156"/>
    </row>
    <row r="157" spans="55:72" x14ac:dyDescent="0.35">
      <c r="BC157"/>
      <c r="BD157"/>
      <c r="BE157"/>
      <c r="BF157"/>
      <c r="BG157"/>
      <c r="BH157"/>
      <c r="BI157"/>
      <c r="BJ157"/>
      <c r="BK157"/>
      <c r="BL157"/>
      <c r="BM157"/>
      <c r="BN157"/>
      <c r="BO157"/>
      <c r="BP157"/>
      <c r="BQ157"/>
      <c r="BR157"/>
      <c r="BS157"/>
      <c r="BT157"/>
    </row>
    <row r="158" spans="55:72" x14ac:dyDescent="0.35">
      <c r="BC158"/>
      <c r="BD158"/>
      <c r="BE158"/>
      <c r="BF158"/>
      <c r="BG158"/>
      <c r="BH158"/>
      <c r="BI158"/>
      <c r="BJ158"/>
      <c r="BK158"/>
      <c r="BL158"/>
      <c r="BM158"/>
      <c r="BN158"/>
      <c r="BO158"/>
      <c r="BP158"/>
      <c r="BQ158"/>
      <c r="BR158"/>
      <c r="BS158"/>
      <c r="BT158"/>
    </row>
    <row r="159" spans="55:72" x14ac:dyDescent="0.35">
      <c r="BC159"/>
      <c r="BD159"/>
      <c r="BE159"/>
      <c r="BF159"/>
      <c r="BG159"/>
      <c r="BH159"/>
      <c r="BI159"/>
      <c r="BJ159"/>
      <c r="BK159"/>
      <c r="BL159"/>
      <c r="BM159"/>
      <c r="BN159"/>
      <c r="BO159"/>
      <c r="BP159"/>
      <c r="BQ159"/>
      <c r="BR159"/>
      <c r="BS159"/>
      <c r="BT159"/>
    </row>
    <row r="160" spans="55:72" x14ac:dyDescent="0.35">
      <c r="BC160"/>
      <c r="BD160"/>
      <c r="BE160"/>
      <c r="BF160"/>
      <c r="BG160"/>
      <c r="BH160"/>
      <c r="BI160"/>
      <c r="BJ160"/>
      <c r="BK160"/>
      <c r="BL160"/>
      <c r="BM160"/>
      <c r="BN160"/>
      <c r="BO160"/>
      <c r="BP160"/>
      <c r="BQ160"/>
      <c r="BR160"/>
      <c r="BS160"/>
      <c r="BT160"/>
    </row>
    <row r="161" spans="55:72" x14ac:dyDescent="0.35">
      <c r="BC161"/>
      <c r="BD161"/>
      <c r="BE161"/>
      <c r="BF161"/>
      <c r="BG161"/>
      <c r="BH161"/>
      <c r="BI161"/>
      <c r="BJ161"/>
      <c r="BK161"/>
      <c r="BL161"/>
      <c r="BM161"/>
      <c r="BN161"/>
      <c r="BO161"/>
      <c r="BP161"/>
      <c r="BQ161"/>
      <c r="BR161"/>
      <c r="BS161"/>
      <c r="BT161"/>
    </row>
    <row r="162" spans="55:72" x14ac:dyDescent="0.35">
      <c r="BC162"/>
      <c r="BD162"/>
      <c r="BE162"/>
      <c r="BF162"/>
      <c r="BG162"/>
      <c r="BH162"/>
      <c r="BI162"/>
      <c r="BJ162"/>
      <c r="BK162"/>
      <c r="BL162"/>
      <c r="BM162"/>
      <c r="BN162"/>
      <c r="BO162"/>
      <c r="BP162"/>
      <c r="BQ162"/>
      <c r="BR162"/>
      <c r="BS162"/>
      <c r="BT162"/>
    </row>
    <row r="163" spans="55:72" x14ac:dyDescent="0.35">
      <c r="BC163"/>
      <c r="BD163"/>
      <c r="BE163"/>
      <c r="BF163"/>
      <c r="BG163"/>
      <c r="BH163"/>
      <c r="BI163"/>
      <c r="BJ163"/>
      <c r="BK163"/>
      <c r="BL163"/>
      <c r="BM163"/>
      <c r="BN163"/>
      <c r="BO163"/>
      <c r="BP163"/>
      <c r="BQ163"/>
      <c r="BR163"/>
      <c r="BS163"/>
      <c r="BT163"/>
    </row>
    <row r="164" spans="55:72" x14ac:dyDescent="0.35">
      <c r="BC164"/>
      <c r="BD164"/>
      <c r="BE164"/>
      <c r="BF164"/>
      <c r="BG164"/>
      <c r="BH164"/>
      <c r="BI164"/>
      <c r="BJ164"/>
      <c r="BK164"/>
      <c r="BL164"/>
      <c r="BM164"/>
      <c r="BN164"/>
      <c r="BO164"/>
      <c r="BP164"/>
      <c r="BQ164"/>
      <c r="BR164"/>
      <c r="BS164"/>
      <c r="BT164"/>
    </row>
    <row r="165" spans="55:72" x14ac:dyDescent="0.35">
      <c r="BC165"/>
      <c r="BD165"/>
      <c r="BE165"/>
      <c r="BF165"/>
      <c r="BG165"/>
      <c r="BH165"/>
      <c r="BI165"/>
      <c r="BJ165"/>
      <c r="BK165"/>
      <c r="BL165"/>
      <c r="BM165"/>
      <c r="BN165"/>
      <c r="BO165"/>
      <c r="BP165"/>
      <c r="BQ165"/>
      <c r="BR165"/>
      <c r="BS165"/>
      <c r="BT165"/>
    </row>
    <row r="166" spans="55:72" x14ac:dyDescent="0.35">
      <c r="BC166"/>
      <c r="BD166"/>
      <c r="BE166"/>
      <c r="BF166"/>
      <c r="BG166"/>
      <c r="BH166"/>
      <c r="BI166"/>
      <c r="BJ166"/>
      <c r="BK166"/>
      <c r="BL166"/>
      <c r="BM166"/>
      <c r="BN166"/>
      <c r="BO166"/>
      <c r="BP166"/>
      <c r="BQ166"/>
      <c r="BR166"/>
      <c r="BS166"/>
      <c r="BT166"/>
    </row>
    <row r="167" spans="55:72" x14ac:dyDescent="0.35">
      <c r="BC167"/>
      <c r="BD167"/>
      <c r="BE167"/>
      <c r="BF167"/>
      <c r="BG167"/>
      <c r="BH167"/>
      <c r="BI167"/>
      <c r="BJ167"/>
      <c r="BK167"/>
      <c r="BL167"/>
      <c r="BM167"/>
      <c r="BN167"/>
      <c r="BO167"/>
      <c r="BP167"/>
      <c r="BQ167"/>
      <c r="BR167"/>
      <c r="BS167"/>
      <c r="BT167"/>
    </row>
    <row r="168" spans="55:72" x14ac:dyDescent="0.35">
      <c r="BC168"/>
      <c r="BD168"/>
      <c r="BE168"/>
      <c r="BF168"/>
      <c r="BG168"/>
      <c r="BH168"/>
      <c r="BI168"/>
      <c r="BJ168"/>
      <c r="BK168"/>
      <c r="BL168"/>
      <c r="BM168"/>
      <c r="BN168"/>
      <c r="BO168"/>
      <c r="BP168"/>
      <c r="BQ168"/>
      <c r="BR168"/>
      <c r="BS168"/>
      <c r="BT168"/>
    </row>
    <row r="169" spans="55:72" x14ac:dyDescent="0.35">
      <c r="BC169"/>
      <c r="BD169"/>
      <c r="BE169"/>
      <c r="BF169"/>
      <c r="BG169"/>
      <c r="BH169"/>
      <c r="BI169"/>
      <c r="BJ169"/>
      <c r="BK169"/>
      <c r="BL169"/>
      <c r="BM169"/>
      <c r="BN169"/>
      <c r="BO169"/>
      <c r="BP169"/>
      <c r="BQ169"/>
      <c r="BR169"/>
      <c r="BS169"/>
      <c r="BT169"/>
    </row>
    <row r="170" spans="55:72" x14ac:dyDescent="0.35">
      <c r="BC170"/>
      <c r="BD170"/>
      <c r="BE170"/>
      <c r="BF170"/>
      <c r="BG170"/>
      <c r="BH170"/>
      <c r="BI170"/>
      <c r="BJ170"/>
      <c r="BK170"/>
      <c r="BL170"/>
      <c r="BM170"/>
      <c r="BN170"/>
      <c r="BO170"/>
      <c r="BP170"/>
      <c r="BQ170"/>
      <c r="BR170"/>
      <c r="BS170"/>
      <c r="BT170"/>
    </row>
    <row r="171" spans="55:72" x14ac:dyDescent="0.35">
      <c r="BC171"/>
      <c r="BD171"/>
      <c r="BE171"/>
      <c r="BF171"/>
      <c r="BG171"/>
      <c r="BH171"/>
      <c r="BI171"/>
      <c r="BJ171"/>
      <c r="BK171"/>
      <c r="BL171"/>
      <c r="BM171"/>
      <c r="BN171"/>
      <c r="BO171"/>
      <c r="BP171"/>
      <c r="BQ171"/>
      <c r="BR171"/>
      <c r="BS171"/>
      <c r="BT171"/>
    </row>
    <row r="172" spans="55:72" x14ac:dyDescent="0.35">
      <c r="BC172"/>
      <c r="BD172"/>
      <c r="BE172"/>
      <c r="BF172"/>
      <c r="BG172"/>
      <c r="BH172"/>
      <c r="BI172"/>
      <c r="BJ172"/>
      <c r="BK172"/>
      <c r="BL172"/>
      <c r="BM172"/>
      <c r="BN172"/>
      <c r="BO172"/>
      <c r="BP172"/>
      <c r="BQ172"/>
      <c r="BR172"/>
      <c r="BS172"/>
      <c r="BT172"/>
    </row>
    <row r="173" spans="55:72" x14ac:dyDescent="0.35">
      <c r="BC173"/>
      <c r="BD173"/>
      <c r="BE173"/>
      <c r="BF173"/>
      <c r="BG173"/>
      <c r="BH173"/>
      <c r="BI173"/>
      <c r="BJ173"/>
      <c r="BK173"/>
      <c r="BL173"/>
      <c r="BM173"/>
      <c r="BN173"/>
      <c r="BO173"/>
      <c r="BP173"/>
      <c r="BQ173"/>
      <c r="BR173"/>
      <c r="BS173"/>
      <c r="BT173"/>
    </row>
    <row r="174" spans="55:72" x14ac:dyDescent="0.35">
      <c r="BC174"/>
      <c r="BD174"/>
      <c r="BE174"/>
      <c r="BF174"/>
      <c r="BG174"/>
      <c r="BH174"/>
      <c r="BI174"/>
      <c r="BJ174"/>
      <c r="BK174"/>
      <c r="BL174"/>
      <c r="BM174"/>
      <c r="BN174"/>
      <c r="BO174"/>
      <c r="BP174"/>
      <c r="BQ174"/>
      <c r="BR174"/>
      <c r="BS174"/>
      <c r="BT174"/>
    </row>
    <row r="175" spans="55:72" x14ac:dyDescent="0.35">
      <c r="BC175"/>
      <c r="BD175"/>
      <c r="BE175"/>
      <c r="BF175"/>
      <c r="BG175"/>
      <c r="BH175"/>
      <c r="BI175"/>
      <c r="BJ175"/>
      <c r="BK175"/>
      <c r="BL175"/>
      <c r="BM175"/>
      <c r="BN175"/>
      <c r="BO175"/>
      <c r="BP175"/>
      <c r="BQ175"/>
      <c r="BR175"/>
      <c r="BS175"/>
      <c r="BT175"/>
    </row>
    <row r="176" spans="55:72" x14ac:dyDescent="0.35">
      <c r="BC176"/>
      <c r="BD176"/>
      <c r="BE176"/>
      <c r="BF176"/>
      <c r="BG176"/>
      <c r="BH176"/>
      <c r="BI176"/>
      <c r="BJ176"/>
      <c r="BK176"/>
      <c r="BL176"/>
      <c r="BM176"/>
      <c r="BN176"/>
      <c r="BO176"/>
      <c r="BP176"/>
      <c r="BQ176"/>
      <c r="BR176"/>
      <c r="BS176"/>
      <c r="BT176"/>
    </row>
    <row r="177" spans="55:72" x14ac:dyDescent="0.35">
      <c r="BC177"/>
      <c r="BD177"/>
      <c r="BE177"/>
      <c r="BF177"/>
      <c r="BG177"/>
      <c r="BH177"/>
      <c r="BI177"/>
      <c r="BJ177"/>
      <c r="BK177"/>
      <c r="BL177"/>
      <c r="BM177"/>
      <c r="BN177"/>
      <c r="BO177"/>
      <c r="BP177"/>
      <c r="BQ177"/>
      <c r="BR177"/>
      <c r="BS177"/>
      <c r="BT177"/>
    </row>
    <row r="178" spans="55:72" x14ac:dyDescent="0.35">
      <c r="BC178"/>
      <c r="BD178"/>
      <c r="BE178"/>
      <c r="BF178"/>
      <c r="BG178"/>
      <c r="BH178"/>
      <c r="BI178"/>
      <c r="BJ178"/>
      <c r="BK178"/>
      <c r="BL178"/>
      <c r="BM178"/>
      <c r="BN178"/>
      <c r="BO178"/>
      <c r="BP178"/>
    </row>
    <row r="179" spans="55:72" x14ac:dyDescent="0.35">
      <c r="BC179"/>
      <c r="BD179"/>
      <c r="BE179"/>
      <c r="BF179"/>
      <c r="BG179"/>
      <c r="BH179"/>
      <c r="BI179"/>
      <c r="BJ179"/>
      <c r="BK179"/>
      <c r="BL179"/>
      <c r="BM179"/>
      <c r="BN179"/>
      <c r="BO179"/>
      <c r="BP179"/>
    </row>
    <row r="180" spans="55:72" x14ac:dyDescent="0.35">
      <c r="BC180"/>
      <c r="BD180"/>
      <c r="BE180"/>
      <c r="BF180"/>
      <c r="BG180"/>
      <c r="BH180"/>
      <c r="BI180"/>
      <c r="BJ180"/>
      <c r="BK180"/>
      <c r="BL180"/>
      <c r="BM180"/>
      <c r="BN180"/>
      <c r="BO180"/>
      <c r="BP180"/>
    </row>
    <row r="181" spans="55:72" x14ac:dyDescent="0.35">
      <c r="BC181"/>
      <c r="BD181"/>
      <c r="BE181"/>
      <c r="BF181"/>
      <c r="BG181"/>
      <c r="BH181"/>
      <c r="BI181"/>
      <c r="BJ181"/>
      <c r="BK181"/>
      <c r="BL181"/>
      <c r="BM181"/>
      <c r="BN181"/>
      <c r="BO181"/>
      <c r="BP181"/>
    </row>
    <row r="182" spans="55:72" x14ac:dyDescent="0.35">
      <c r="BC182"/>
      <c r="BD182"/>
      <c r="BE182"/>
      <c r="BF182"/>
      <c r="BG182"/>
      <c r="BH182"/>
      <c r="BI182"/>
      <c r="BJ182"/>
      <c r="BK182"/>
      <c r="BL182"/>
      <c r="BM182"/>
      <c r="BN182"/>
      <c r="BO182"/>
      <c r="BP182"/>
    </row>
  </sheetData>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5" tint="0.79998168889431442"/>
  </sheetPr>
  <dimension ref="A1:R244"/>
  <sheetViews>
    <sheetView topLeftCell="D1" zoomScale="85" zoomScaleNormal="85" workbookViewId="0">
      <pane ySplit="1" topLeftCell="A25" activePane="bottomLeft" state="frozen"/>
      <selection activeCell="E167" sqref="E167"/>
      <selection pane="bottomLeft" activeCell="L43" sqref="L43"/>
    </sheetView>
  </sheetViews>
  <sheetFormatPr defaultColWidth="9.1796875" defaultRowHeight="14.5" x14ac:dyDescent="0.35"/>
  <cols>
    <col min="1" max="1" width="5.54296875" style="839" bestFit="1" customWidth="1"/>
    <col min="2" max="2" width="34.1796875" style="840" bestFit="1" customWidth="1"/>
    <col min="3" max="3" width="57.81640625" bestFit="1" customWidth="1"/>
    <col min="4" max="5" width="19" bestFit="1" customWidth="1"/>
    <col min="6" max="6" width="8" bestFit="1" customWidth="1"/>
    <col min="7" max="7" width="43" customWidth="1"/>
    <col min="8" max="9" width="19.1796875" bestFit="1" customWidth="1"/>
    <col min="10" max="10" width="1.7265625" customWidth="1"/>
    <col min="11" max="11" width="42.1796875" customWidth="1"/>
    <col min="12" max="13" width="19.1796875" bestFit="1" customWidth="1"/>
    <col min="14" max="15" width="15" bestFit="1" customWidth="1"/>
  </cols>
  <sheetData>
    <row r="1" spans="1:13" s="757" customFormat="1" ht="18.5" x14ac:dyDescent="0.45">
      <c r="A1" s="838" t="s">
        <v>1278</v>
      </c>
      <c r="B1" s="1338"/>
      <c r="C1" s="1339"/>
      <c r="D1" s="1339">
        <v>2025</v>
      </c>
      <c r="E1" s="1339">
        <v>2026</v>
      </c>
      <c r="H1" s="757" t="s">
        <v>1603</v>
      </c>
      <c r="I1" s="757" t="s">
        <v>1604</v>
      </c>
      <c r="L1" s="757" t="s">
        <v>1605</v>
      </c>
      <c r="M1" s="757" t="s">
        <v>1606</v>
      </c>
    </row>
    <row r="2" spans="1:13" x14ac:dyDescent="0.35">
      <c r="A2" s="839">
        <f>ROW()</f>
        <v>2</v>
      </c>
      <c r="B2" s="1340"/>
      <c r="C2" s="573" t="s">
        <v>1488</v>
      </c>
      <c r="D2" s="1341">
        <v>862896435.31751466</v>
      </c>
      <c r="E2" s="1341">
        <v>892520452.71052587</v>
      </c>
      <c r="F2" s="124"/>
      <c r="I2" s="124"/>
      <c r="J2" s="124"/>
    </row>
    <row r="3" spans="1:13" x14ac:dyDescent="0.35">
      <c r="A3" s="839">
        <f>ROW()</f>
        <v>3</v>
      </c>
      <c r="B3" s="1340"/>
      <c r="C3" s="573" t="s">
        <v>1489</v>
      </c>
      <c r="D3" s="1342">
        <v>-11865590.0000004</v>
      </c>
      <c r="E3" s="1342">
        <v>-14088537</v>
      </c>
      <c r="F3" s="124"/>
      <c r="I3" s="124"/>
      <c r="J3" s="124"/>
    </row>
    <row r="4" spans="1:13" x14ac:dyDescent="0.35">
      <c r="A4" s="839">
        <f>ROW()</f>
        <v>4</v>
      </c>
      <c r="B4" s="1340"/>
      <c r="C4" s="573" t="s">
        <v>1490</v>
      </c>
      <c r="D4" s="1343">
        <f>SUM(D2:D3)</f>
        <v>851030845.3175143</v>
      </c>
      <c r="E4" s="1343">
        <f>SUM(E2:E3)</f>
        <v>878431915.71052587</v>
      </c>
      <c r="F4" s="124"/>
      <c r="I4" s="124"/>
      <c r="J4" s="124"/>
      <c r="L4" s="954"/>
      <c r="M4" s="954"/>
    </row>
    <row r="5" spans="1:13" x14ac:dyDescent="0.35">
      <c r="A5" s="839">
        <f>ROW()</f>
        <v>5</v>
      </c>
      <c r="B5" s="1340"/>
      <c r="C5" s="573"/>
      <c r="D5" s="573"/>
      <c r="E5" s="573"/>
    </row>
    <row r="6" spans="1:13" x14ac:dyDescent="0.35">
      <c r="A6" s="839">
        <f>ROW()</f>
        <v>6</v>
      </c>
      <c r="B6" s="1340"/>
      <c r="C6" s="1344" t="s">
        <v>1491</v>
      </c>
      <c r="D6" s="573"/>
      <c r="E6" s="573"/>
    </row>
    <row r="7" spans="1:13" x14ac:dyDescent="0.35">
      <c r="A7" s="839">
        <f>ROW()</f>
        <v>7</v>
      </c>
      <c r="B7" s="1340"/>
      <c r="C7" s="573" t="s">
        <v>1492</v>
      </c>
      <c r="D7" s="958">
        <v>-58577499.092952497</v>
      </c>
      <c r="E7" s="958">
        <v>-54699875.194072396</v>
      </c>
    </row>
    <row r="8" spans="1:13" x14ac:dyDescent="0.35">
      <c r="A8" s="839">
        <f>ROW()</f>
        <v>8</v>
      </c>
      <c r="B8" s="1340"/>
      <c r="C8" s="573" t="s">
        <v>1080</v>
      </c>
      <c r="D8" s="958">
        <v>-2312291.1752176997</v>
      </c>
      <c r="E8" s="958">
        <v>-2410892.2989591998</v>
      </c>
    </row>
    <row r="9" spans="1:13" x14ac:dyDescent="0.35">
      <c r="A9" s="839">
        <f>ROW()</f>
        <v>9</v>
      </c>
      <c r="B9" s="1340"/>
      <c r="C9" s="573" t="s">
        <v>1493</v>
      </c>
      <c r="D9" s="958">
        <v>-24398684.953399599</v>
      </c>
      <c r="E9" s="958">
        <v>-27420200.632002398</v>
      </c>
    </row>
    <row r="10" spans="1:13" x14ac:dyDescent="0.35">
      <c r="A10" s="839">
        <f>ROW()</f>
        <v>10</v>
      </c>
      <c r="B10" s="1340"/>
      <c r="C10" s="573" t="s">
        <v>1105</v>
      </c>
      <c r="D10" s="958">
        <v>-20719818.830734</v>
      </c>
      <c r="E10" s="958">
        <v>-22192196.787294399</v>
      </c>
    </row>
    <row r="11" spans="1:13" x14ac:dyDescent="0.35">
      <c r="A11" s="839">
        <f>ROW()</f>
        <v>11</v>
      </c>
      <c r="B11" s="1340"/>
      <c r="C11" s="573" t="s">
        <v>1494</v>
      </c>
      <c r="D11" s="958">
        <v>-8519800.3632089961</v>
      </c>
      <c r="E11" s="958">
        <v>-12609306.040391102</v>
      </c>
    </row>
    <row r="12" spans="1:13" x14ac:dyDescent="0.35">
      <c r="A12" s="839">
        <f>ROW()</f>
        <v>12</v>
      </c>
      <c r="B12" s="1340"/>
      <c r="C12" s="573" t="s">
        <v>1106</v>
      </c>
      <c r="D12" s="958">
        <v>-10038803.18182</v>
      </c>
      <c r="E12" s="958">
        <v>-10019344.056600001</v>
      </c>
    </row>
    <row r="13" spans="1:13" x14ac:dyDescent="0.35">
      <c r="A13" s="839">
        <f>ROW()</f>
        <v>13</v>
      </c>
      <c r="B13" s="1340" t="s">
        <v>1573</v>
      </c>
      <c r="C13" s="1345" t="s">
        <v>1531</v>
      </c>
      <c r="D13" s="958">
        <v>-5384273.4920495991</v>
      </c>
      <c r="E13" s="958">
        <v>-5388402.5367496004</v>
      </c>
    </row>
    <row r="14" spans="1:13" x14ac:dyDescent="0.35">
      <c r="A14" s="839">
        <f>ROW()</f>
        <v>14</v>
      </c>
      <c r="B14" s="1340"/>
      <c r="C14" s="1345" t="s">
        <v>1599</v>
      </c>
      <c r="D14" s="958">
        <v>-1446371.0000004</v>
      </c>
      <c r="E14" s="958">
        <v>-4425897</v>
      </c>
    </row>
    <row r="15" spans="1:13" x14ac:dyDescent="0.35">
      <c r="A15" s="839">
        <f>ROW()</f>
        <v>15</v>
      </c>
      <c r="B15" s="1340" t="s">
        <v>1574</v>
      </c>
      <c r="C15" s="1345" t="s">
        <v>1575</v>
      </c>
      <c r="D15" s="958">
        <v>-13631606.0000004</v>
      </c>
      <c r="E15" s="958">
        <v>-13904238</v>
      </c>
    </row>
    <row r="16" spans="1:13" x14ac:dyDescent="0.35">
      <c r="A16" s="839">
        <f>ROW()</f>
        <v>16</v>
      </c>
      <c r="B16" s="1340"/>
      <c r="C16" s="1345" t="s">
        <v>1598</v>
      </c>
      <c r="D16" s="958">
        <v>-502838.0000004</v>
      </c>
      <c r="E16" s="958">
        <v>-6154737</v>
      </c>
    </row>
    <row r="17" spans="1:14" x14ac:dyDescent="0.35">
      <c r="A17" s="839">
        <f>ROW()</f>
        <v>17</v>
      </c>
      <c r="B17" s="1340" t="s">
        <v>1641</v>
      </c>
      <c r="C17" s="1345" t="s">
        <v>1642</v>
      </c>
      <c r="D17" s="958">
        <v>-10600000</v>
      </c>
      <c r="E17" s="958">
        <v>-11700000</v>
      </c>
    </row>
    <row r="18" spans="1:14" x14ac:dyDescent="0.35">
      <c r="A18" s="839">
        <f>ROW()</f>
        <v>18</v>
      </c>
      <c r="B18" s="1340"/>
      <c r="C18" s="1345" t="s">
        <v>1530</v>
      </c>
      <c r="D18" s="958">
        <v>-966856</v>
      </c>
      <c r="E18" s="958">
        <v>-1000696</v>
      </c>
    </row>
    <row r="19" spans="1:14" x14ac:dyDescent="0.35">
      <c r="A19" s="839">
        <f>ROW()</f>
        <v>19</v>
      </c>
      <c r="B19" s="1340"/>
      <c r="C19" s="1345" t="s">
        <v>1429</v>
      </c>
      <c r="D19" s="958">
        <v>-200000</v>
      </c>
      <c r="E19" s="958">
        <v>-200000</v>
      </c>
    </row>
    <row r="20" spans="1:14" x14ac:dyDescent="0.35">
      <c r="A20" s="839">
        <f>ROW()</f>
        <v>20</v>
      </c>
      <c r="B20" s="1340" t="s">
        <v>1576</v>
      </c>
      <c r="C20" s="1345" t="s">
        <v>1577</v>
      </c>
      <c r="D20" s="958">
        <v>-5628712.3999992013</v>
      </c>
      <c r="E20" s="958">
        <v>-6425884.0900019985</v>
      </c>
    </row>
    <row r="21" spans="1:14" x14ac:dyDescent="0.35">
      <c r="A21" s="839">
        <f>ROW()</f>
        <v>21</v>
      </c>
      <c r="B21" s="1340" t="s">
        <v>1576</v>
      </c>
      <c r="C21" s="1345" t="s">
        <v>1578</v>
      </c>
      <c r="D21" s="958">
        <v>-14460816.8005859</v>
      </c>
      <c r="E21" s="958">
        <v>-14336418.440615101</v>
      </c>
    </row>
    <row r="22" spans="1:14" x14ac:dyDescent="0.35">
      <c r="A22" s="839">
        <f>ROW()</f>
        <v>22</v>
      </c>
      <c r="B22" s="1340" t="s">
        <v>1576</v>
      </c>
      <c r="C22" s="1345" t="s">
        <v>1579</v>
      </c>
      <c r="D22" s="958">
        <v>2602947.0241054501</v>
      </c>
      <c r="E22" s="958">
        <v>2580555.3193107299</v>
      </c>
    </row>
    <row r="23" spans="1:14" x14ac:dyDescent="0.35">
      <c r="A23" s="839">
        <f>ROW()</f>
        <v>23</v>
      </c>
      <c r="B23" s="1340" t="s">
        <v>1573</v>
      </c>
      <c r="C23" s="1345" t="s">
        <v>1580</v>
      </c>
      <c r="D23" s="958">
        <v>-27904517.680000097</v>
      </c>
      <c r="E23" s="958">
        <v>-3366300</v>
      </c>
    </row>
    <row r="24" spans="1:14" x14ac:dyDescent="0.35">
      <c r="A24" s="839">
        <f>ROW()</f>
        <v>24</v>
      </c>
      <c r="B24" s="1340" t="s">
        <v>1581</v>
      </c>
      <c r="C24" s="1346" t="s">
        <v>1279</v>
      </c>
      <c r="D24" s="1342">
        <v>-10102994.9999997</v>
      </c>
      <c r="E24" s="1342">
        <v>-10348828.000000199</v>
      </c>
    </row>
    <row r="25" spans="1:14" x14ac:dyDescent="0.35">
      <c r="A25" s="839">
        <f>ROW()</f>
        <v>25</v>
      </c>
      <c r="D25" s="955">
        <f>SUM(D7:D24)</f>
        <v>-212792936.94586304</v>
      </c>
      <c r="E25" s="955">
        <f>SUM(E7:E24)</f>
        <v>-204022660.75737569</v>
      </c>
    </row>
    <row r="26" spans="1:14" x14ac:dyDescent="0.35">
      <c r="A26" s="839">
        <f>ROW()</f>
        <v>26</v>
      </c>
      <c r="B26"/>
      <c r="D26" s="956"/>
      <c r="E26" s="956"/>
    </row>
    <row r="27" spans="1:14" x14ac:dyDescent="0.35">
      <c r="A27" s="839">
        <f>ROW()</f>
        <v>27</v>
      </c>
      <c r="B27" s="1068" t="s">
        <v>1656</v>
      </c>
      <c r="C27" t="s">
        <v>1495</v>
      </c>
      <c r="D27" s="236">
        <v>-11731545.755493794</v>
      </c>
      <c r="E27" s="236">
        <v>-15293537.083264591</v>
      </c>
      <c r="F27" s="1069">
        <f>E28+E27+E29</f>
        <v>0.46954970879596658</v>
      </c>
    </row>
    <row r="28" spans="1:14" x14ac:dyDescent="0.35">
      <c r="A28" s="839">
        <f>ROW()</f>
        <v>28</v>
      </c>
      <c r="B28"/>
      <c r="C28" t="s">
        <v>1496</v>
      </c>
      <c r="D28" s="236">
        <v>11929004.627238</v>
      </c>
      <c r="E28" s="236">
        <v>15502692.1791768</v>
      </c>
      <c r="F28" s="1069">
        <f>D28+D27+D29</f>
        <v>0.2337117061833851</v>
      </c>
    </row>
    <row r="29" spans="1:14" x14ac:dyDescent="0.35">
      <c r="A29" s="839">
        <f>ROW()</f>
        <v>29</v>
      </c>
      <c r="B29">
        <v>63300100</v>
      </c>
      <c r="C29" t="s">
        <v>1657</v>
      </c>
      <c r="D29" s="236">
        <v>-197458.63803249999</v>
      </c>
      <c r="E29" s="236">
        <v>-209154.62636249998</v>
      </c>
    </row>
    <row r="30" spans="1:14" ht="18.5" x14ac:dyDescent="0.45">
      <c r="A30" s="839">
        <f>ROW()</f>
        <v>30</v>
      </c>
      <c r="C30" s="140" t="s">
        <v>1497</v>
      </c>
      <c r="D30" s="957">
        <f>SUM(D4,D25,D28)</f>
        <v>650166912.99888933</v>
      </c>
      <c r="E30" s="957">
        <f>SUM(E4,E25,E28)</f>
        <v>689911947.13232696</v>
      </c>
    </row>
    <row r="31" spans="1:14" x14ac:dyDescent="0.35">
      <c r="A31" s="839">
        <f>ROW()</f>
        <v>31</v>
      </c>
      <c r="C31" s="573"/>
      <c r="D31" s="958"/>
      <c r="E31" s="958"/>
      <c r="F31" s="573"/>
      <c r="G31" s="573"/>
      <c r="H31" s="1337" t="s">
        <v>1921</v>
      </c>
      <c r="I31" s="1337" t="s">
        <v>1604</v>
      </c>
      <c r="J31" s="573"/>
      <c r="K31" s="573"/>
      <c r="L31" s="1337" t="s">
        <v>1922</v>
      </c>
      <c r="M31" s="1337" t="s">
        <v>1606</v>
      </c>
    </row>
    <row r="32" spans="1:14" x14ac:dyDescent="0.35">
      <c r="A32" s="839">
        <f>ROW()</f>
        <v>32</v>
      </c>
      <c r="B32" s="849" t="s">
        <v>59</v>
      </c>
      <c r="C32" t="s">
        <v>1498</v>
      </c>
      <c r="D32" s="236">
        <f t="shared" ref="D32:E42" si="0">SUM(H32,L32)</f>
        <v>107920938.7111602</v>
      </c>
      <c r="E32" s="236">
        <f t="shared" si="0"/>
        <v>118170731.19440705</v>
      </c>
      <c r="G32" t="s">
        <v>1909</v>
      </c>
      <c r="H32" s="1347">
        <v>99929274.275017887</v>
      </c>
      <c r="I32" s="1347">
        <v>109458109.73966143</v>
      </c>
      <c r="J32" s="308"/>
      <c r="K32" t="s">
        <v>1915</v>
      </c>
      <c r="L32" s="1334">
        <v>7991664.4361423105</v>
      </c>
      <c r="M32" s="1334">
        <v>8712621.4547456224</v>
      </c>
      <c r="N32" s="1285"/>
    </row>
    <row r="33" spans="1:14" s="140" customFormat="1" x14ac:dyDescent="0.35">
      <c r="A33" s="839">
        <f>ROW()</f>
        <v>33</v>
      </c>
      <c r="B33" s="849" t="s">
        <v>60</v>
      </c>
      <c r="C33" t="s">
        <v>1499</v>
      </c>
      <c r="D33" s="236">
        <f t="shared" si="0"/>
        <v>30186439.052327901</v>
      </c>
      <c r="E33" s="236">
        <f t="shared" si="0"/>
        <v>34202510.223791867</v>
      </c>
      <c r="G33" t="s">
        <v>1910</v>
      </c>
      <c r="H33" s="1347">
        <v>30186439.052327901</v>
      </c>
      <c r="I33" s="1347">
        <v>34202510.223791867</v>
      </c>
      <c r="J33"/>
      <c r="K33" t="s">
        <v>1916</v>
      </c>
      <c r="L33" s="1334">
        <v>0</v>
      </c>
      <c r="M33" s="1334">
        <v>0</v>
      </c>
      <c r="N33" s="1285" t="s">
        <v>1906</v>
      </c>
    </row>
    <row r="34" spans="1:14" s="140" customFormat="1" x14ac:dyDescent="0.35">
      <c r="A34" s="839">
        <f>ROW()</f>
        <v>34</v>
      </c>
      <c r="B34" s="849" t="s">
        <v>61</v>
      </c>
      <c r="C34" t="s">
        <v>1500</v>
      </c>
      <c r="D34" s="236">
        <f t="shared" si="0"/>
        <v>195828136.06046683</v>
      </c>
      <c r="E34" s="236">
        <f t="shared" si="0"/>
        <v>201501937.37106171</v>
      </c>
      <c r="G34" t="s">
        <v>1911</v>
      </c>
      <c r="H34" s="1347">
        <v>108610588.57646857</v>
      </c>
      <c r="I34" s="1347">
        <v>115326892.2036649</v>
      </c>
      <c r="J34"/>
      <c r="K34" t="s">
        <v>1917</v>
      </c>
      <c r="L34" s="1334">
        <v>87217547.483998239</v>
      </c>
      <c r="M34" s="1334">
        <v>86175045.167396814</v>
      </c>
    </row>
    <row r="35" spans="1:14" s="140" customFormat="1" x14ac:dyDescent="0.35">
      <c r="A35" s="839">
        <f>ROW()</f>
        <v>35</v>
      </c>
      <c r="B35" s="849" t="s">
        <v>62</v>
      </c>
      <c r="C35" t="s">
        <v>1501</v>
      </c>
      <c r="D35" s="236">
        <f t="shared" si="0"/>
        <v>41973331.62447688</v>
      </c>
      <c r="E35" s="236">
        <f t="shared" si="0"/>
        <v>39960488.146768145</v>
      </c>
      <c r="G35" t="s">
        <v>1912</v>
      </c>
      <c r="H35" s="1347">
        <v>27556092.013575077</v>
      </c>
      <c r="I35" s="1347">
        <v>26926843.572908916</v>
      </c>
      <c r="J35"/>
      <c r="K35" t="s">
        <v>1918</v>
      </c>
      <c r="L35" s="1334">
        <v>14417239.610901807</v>
      </c>
      <c r="M35" s="1334">
        <v>13033644.57385923</v>
      </c>
    </row>
    <row r="36" spans="1:14" s="140" customFormat="1" x14ac:dyDescent="0.35">
      <c r="A36" s="839">
        <f>ROW()</f>
        <v>36</v>
      </c>
      <c r="B36" s="849" t="s">
        <v>63</v>
      </c>
      <c r="C36" t="s">
        <v>1502</v>
      </c>
      <c r="D36" s="236">
        <f t="shared" si="0"/>
        <v>5269849.4874083772</v>
      </c>
      <c r="E36" s="236">
        <f t="shared" si="0"/>
        <v>5323935.9686843511</v>
      </c>
      <c r="G36" t="s">
        <v>1913</v>
      </c>
      <c r="H36" s="1347">
        <v>3451245.5173498825</v>
      </c>
      <c r="I36" s="1347">
        <v>3566645.3271975657</v>
      </c>
      <c r="J36"/>
      <c r="K36" t="s">
        <v>1919</v>
      </c>
      <c r="L36" s="1334">
        <v>1818603.9700584949</v>
      </c>
      <c r="M36" s="1334">
        <v>1757290.6414867858</v>
      </c>
    </row>
    <row r="37" spans="1:14" s="140" customFormat="1" x14ac:dyDescent="0.35">
      <c r="A37" s="839">
        <f>ROW()</f>
        <v>37</v>
      </c>
      <c r="B37" s="849" t="s">
        <v>65</v>
      </c>
      <c r="C37" t="s">
        <v>1503</v>
      </c>
      <c r="D37" s="236">
        <f t="shared" si="0"/>
        <v>218646219.34975719</v>
      </c>
      <c r="E37" s="236">
        <f t="shared" si="0"/>
        <v>236192753.90625414</v>
      </c>
      <c r="G37" t="s">
        <v>1914</v>
      </c>
      <c r="H37" s="1347">
        <v>161230691.31230345</v>
      </c>
      <c r="I37" s="1347">
        <v>170682792.73320556</v>
      </c>
      <c r="J37"/>
      <c r="K37" t="s">
        <v>1920</v>
      </c>
      <c r="L37" s="1334">
        <v>57415528.037453726</v>
      </c>
      <c r="M37" s="1334">
        <v>65509961.173048586</v>
      </c>
    </row>
    <row r="38" spans="1:14" s="140" customFormat="1" x14ac:dyDescent="0.35">
      <c r="A38" s="839">
        <f>ROW()</f>
        <v>38</v>
      </c>
      <c r="B38" s="840"/>
      <c r="D38" s="955"/>
      <c r="E38" s="955"/>
      <c r="G38" s="959"/>
      <c r="H38" s="1347">
        <v>0</v>
      </c>
      <c r="I38" s="1347">
        <v>0</v>
      </c>
      <c r="K38" s="961"/>
      <c r="L38" s="1334">
        <v>0</v>
      </c>
      <c r="M38" s="1334">
        <v>0</v>
      </c>
    </row>
    <row r="39" spans="1:14" x14ac:dyDescent="0.35">
      <c r="A39" s="839">
        <f>ROW()</f>
        <v>39</v>
      </c>
      <c r="D39" s="236"/>
      <c r="E39" s="236"/>
      <c r="G39" s="959"/>
      <c r="H39" s="1347">
        <v>0</v>
      </c>
      <c r="I39" s="1347">
        <v>0</v>
      </c>
      <c r="K39" s="961"/>
      <c r="L39" s="1334">
        <v>0</v>
      </c>
      <c r="M39" s="1334">
        <v>0</v>
      </c>
    </row>
    <row r="40" spans="1:14" x14ac:dyDescent="0.35">
      <c r="A40" s="839">
        <f>ROW()</f>
        <v>40</v>
      </c>
      <c r="C40" t="s">
        <v>1504</v>
      </c>
      <c r="D40" s="236">
        <f t="shared" si="0"/>
        <v>11731545.755493805</v>
      </c>
      <c r="E40" s="236">
        <f t="shared" si="0"/>
        <v>15293537.0832646</v>
      </c>
      <c r="G40" s="959" t="s">
        <v>1505</v>
      </c>
      <c r="H40" s="1347">
        <v>9056765.4935848434</v>
      </c>
      <c r="I40" s="1347">
        <v>10426489.941850016</v>
      </c>
      <c r="K40" s="961" t="s">
        <v>1506</v>
      </c>
      <c r="L40" s="1334">
        <v>2674780.2619089624</v>
      </c>
      <c r="M40" s="1334">
        <v>4867047.1414145846</v>
      </c>
    </row>
    <row r="41" spans="1:14" x14ac:dyDescent="0.35">
      <c r="A41" s="839">
        <f>ROW()</f>
        <v>41</v>
      </c>
      <c r="C41" t="s">
        <v>1507</v>
      </c>
      <c r="D41" s="953">
        <f t="shared" si="0"/>
        <v>15100000</v>
      </c>
      <c r="E41" s="953">
        <f t="shared" si="0"/>
        <v>15100000</v>
      </c>
      <c r="G41" s="959" t="s">
        <v>1508</v>
      </c>
      <c r="H41" s="1347">
        <v>9933246.5494711939</v>
      </c>
      <c r="I41" s="1347">
        <v>9933246.5494711939</v>
      </c>
      <c r="K41" s="961" t="s">
        <v>1509</v>
      </c>
      <c r="L41" s="1334">
        <v>5166753.4505288061</v>
      </c>
      <c r="M41" s="1334">
        <v>5166753.4505288061</v>
      </c>
    </row>
    <row r="42" spans="1:14" x14ac:dyDescent="0.35">
      <c r="A42" s="839">
        <f>ROW()</f>
        <v>42</v>
      </c>
      <c r="D42" s="964">
        <f t="shared" si="0"/>
        <v>626656460.0410912</v>
      </c>
      <c r="E42" s="964">
        <f t="shared" si="0"/>
        <v>665745893.8942318</v>
      </c>
      <c r="F42" s="758"/>
      <c r="G42" s="965"/>
      <c r="H42" s="1348">
        <f>SUM(H32:H41)</f>
        <v>449954342.79009885</v>
      </c>
      <c r="I42" s="1348">
        <f>SUM(I32:I41)</f>
        <v>480523530.29175144</v>
      </c>
      <c r="J42" s="758"/>
      <c r="K42" s="966"/>
      <c r="L42" s="1335">
        <f>SUM(L32:L41)</f>
        <v>176702117.25099233</v>
      </c>
      <c r="M42" s="1335">
        <f>SUM(M32:M41)</f>
        <v>185222363.60248041</v>
      </c>
    </row>
    <row r="43" spans="1:14" x14ac:dyDescent="0.35">
      <c r="A43" s="839">
        <f>ROW()</f>
        <v>43</v>
      </c>
      <c r="C43" s="967" t="s">
        <v>1510</v>
      </c>
      <c r="D43" s="1001">
        <f>D42-D30</f>
        <v>-23510452.957798123</v>
      </c>
      <c r="E43" s="1001">
        <f>E42-E30</f>
        <v>-24166053.238095164</v>
      </c>
      <c r="F43" s="967"/>
      <c r="G43" s="967"/>
      <c r="H43" s="1336" t="s">
        <v>1905</v>
      </c>
      <c r="I43" s="573"/>
      <c r="J43" s="967"/>
      <c r="K43" s="967"/>
      <c r="L43" s="1336" t="s">
        <v>1905</v>
      </c>
      <c r="M43" s="967"/>
    </row>
    <row r="44" spans="1:14" x14ac:dyDescent="0.35">
      <c r="A44" s="839">
        <f>ROW()</f>
        <v>44</v>
      </c>
      <c r="D44" s="968"/>
      <c r="E44" s="968"/>
      <c r="G44" s="669"/>
      <c r="H44" s="307"/>
      <c r="I44" s="307"/>
      <c r="K44" s="969"/>
      <c r="L44" s="307"/>
      <c r="M44" s="307"/>
    </row>
    <row r="45" spans="1:14" s="1257" customFormat="1" x14ac:dyDescent="0.35">
      <c r="A45" s="839">
        <f>ROW()</f>
        <v>45</v>
      </c>
      <c r="B45" s="840"/>
      <c r="C45" s="1217" t="s">
        <v>1511</v>
      </c>
      <c r="D45" s="1217">
        <f>SUM(D32:D38)</f>
        <v>599824914.28559744</v>
      </c>
      <c r="E45" s="1217">
        <f>SUM(E32:E38)</f>
        <v>635352356.81096733</v>
      </c>
      <c r="F45" s="1217"/>
      <c r="G45" s="1217"/>
      <c r="H45" s="1217">
        <f>SUM(H32:H38)</f>
        <v>430964330.74704278</v>
      </c>
      <c r="I45" s="1217">
        <f>SUM(I32:I38)</f>
        <v>460163793.80043024</v>
      </c>
      <c r="J45" s="1217"/>
      <c r="K45" s="1217"/>
      <c r="L45" s="1217">
        <f>SUM(L32:L38)</f>
        <v>168860583.53855458</v>
      </c>
      <c r="M45" s="1217">
        <f>SUM(M32:M38)</f>
        <v>175188563.01053703</v>
      </c>
    </row>
    <row r="46" spans="1:14" s="970" customFormat="1" x14ac:dyDescent="0.35">
      <c r="A46" s="839">
        <f>ROW()</f>
        <v>46</v>
      </c>
      <c r="B46" s="840"/>
      <c r="C46" s="967" t="s">
        <v>1510</v>
      </c>
      <c r="D46" s="967">
        <f>SUM(H46,L46)</f>
        <v>0</v>
      </c>
      <c r="E46" s="967">
        <f>SUM(I46,M46)</f>
        <v>0</v>
      </c>
      <c r="F46" s="967"/>
      <c r="G46" s="967"/>
      <c r="H46" s="967">
        <v>0</v>
      </c>
      <c r="I46" s="967">
        <v>0</v>
      </c>
      <c r="J46" s="967"/>
      <c r="K46" s="967"/>
      <c r="L46" s="967">
        <v>0</v>
      </c>
      <c r="M46" s="967">
        <v>0</v>
      </c>
    </row>
    <row r="47" spans="1:14" s="970" customFormat="1" x14ac:dyDescent="0.35">
      <c r="A47" s="839">
        <f>ROW()</f>
        <v>47</v>
      </c>
      <c r="B47" s="840"/>
      <c r="C47" s="971"/>
      <c r="D47" s="971"/>
      <c r="E47" s="971"/>
      <c r="F47" s="971"/>
      <c r="G47" s="971"/>
      <c r="H47" s="971"/>
      <c r="I47" s="971"/>
      <c r="J47" s="971"/>
      <c r="K47" s="971"/>
      <c r="L47" s="971"/>
      <c r="M47" s="971"/>
    </row>
    <row r="48" spans="1:14" x14ac:dyDescent="0.35">
      <c r="A48" s="839">
        <f>ROW()</f>
        <v>48</v>
      </c>
      <c r="C48" s="140" t="s">
        <v>1512</v>
      </c>
    </row>
    <row r="49" spans="1:13" x14ac:dyDescent="0.35">
      <c r="A49" s="839">
        <f>ROW()</f>
        <v>49</v>
      </c>
      <c r="B49" s="849" t="s">
        <v>65</v>
      </c>
      <c r="C49" s="268" t="s">
        <v>1081</v>
      </c>
      <c r="D49" s="972">
        <f t="shared" ref="D49:E74" si="1">SUM(H49,L49)</f>
        <v>0</v>
      </c>
      <c r="E49" s="972">
        <f t="shared" si="1"/>
        <v>0</v>
      </c>
      <c r="G49" s="669" t="s">
        <v>1081</v>
      </c>
      <c r="H49" s="307">
        <v>0</v>
      </c>
      <c r="I49" s="307">
        <v>0</v>
      </c>
      <c r="J49" s="268"/>
      <c r="K49" s="969" t="s">
        <v>1081</v>
      </c>
      <c r="L49" s="973">
        <v>0</v>
      </c>
      <c r="M49" s="973">
        <v>0</v>
      </c>
    </row>
    <row r="50" spans="1:13" x14ac:dyDescent="0.35">
      <c r="A50" s="839">
        <f>ROW()</f>
        <v>50</v>
      </c>
      <c r="B50" s="849" t="s">
        <v>65</v>
      </c>
      <c r="C50" s="977" t="s">
        <v>1082</v>
      </c>
      <c r="D50" s="972">
        <f t="shared" si="1"/>
        <v>16345852.425519999</v>
      </c>
      <c r="E50" s="972">
        <f t="shared" si="1"/>
        <v>16345852.425519999</v>
      </c>
      <c r="G50" s="669" t="s">
        <v>1082</v>
      </c>
      <c r="H50" s="308">
        <v>11064943.00508</v>
      </c>
      <c r="I50" s="308">
        <v>11064943.00508</v>
      </c>
      <c r="J50" s="268"/>
      <c r="K50" s="969" t="s">
        <v>1082</v>
      </c>
      <c r="L50" s="960">
        <f>'Common Adj'!$NH$17</f>
        <v>5280909.4204400005</v>
      </c>
      <c r="M50" s="960">
        <f>'Common Adj'!$NJ$17</f>
        <v>5280909.4204400005</v>
      </c>
    </row>
    <row r="51" spans="1:13" x14ac:dyDescent="0.35">
      <c r="A51" s="839">
        <f>ROW()</f>
        <v>51</v>
      </c>
      <c r="B51" s="849" t="s">
        <v>62</v>
      </c>
      <c r="C51" s="268" t="s">
        <v>1083</v>
      </c>
      <c r="D51" s="972">
        <f t="shared" si="1"/>
        <v>0</v>
      </c>
      <c r="E51" s="972">
        <f t="shared" si="1"/>
        <v>0</v>
      </c>
      <c r="G51" s="669" t="s">
        <v>1083</v>
      </c>
      <c r="H51" s="974">
        <v>0</v>
      </c>
      <c r="I51" s="974">
        <v>0</v>
      </c>
      <c r="J51" s="268"/>
      <c r="K51" s="969" t="s">
        <v>1083</v>
      </c>
      <c r="L51" s="975">
        <v>0</v>
      </c>
      <c r="M51" s="975">
        <v>0</v>
      </c>
    </row>
    <row r="52" spans="1:13" x14ac:dyDescent="0.35">
      <c r="A52" s="839">
        <f>ROW()</f>
        <v>52</v>
      </c>
      <c r="B52" s="849" t="s">
        <v>62</v>
      </c>
      <c r="C52" s="977" t="s">
        <v>1084</v>
      </c>
      <c r="D52" s="972">
        <f t="shared" si="1"/>
        <v>21045950.696123011</v>
      </c>
      <c r="E52" s="972">
        <f t="shared" si="1"/>
        <v>21045950.696123011</v>
      </c>
      <c r="G52" s="669" t="s">
        <v>1084</v>
      </c>
      <c r="H52" s="308">
        <v>17229065</v>
      </c>
      <c r="I52" s="308">
        <v>17229065</v>
      </c>
      <c r="J52" s="268"/>
      <c r="K52" s="969" t="s">
        <v>1084</v>
      </c>
      <c r="L52" s="960">
        <f>'Common Adj'!$CX$17</f>
        <v>3816885.6961230105</v>
      </c>
      <c r="M52" s="960">
        <f>'Common Adj'!$CZ$17</f>
        <v>3816885.6961230105</v>
      </c>
    </row>
    <row r="53" spans="1:13" x14ac:dyDescent="0.35">
      <c r="A53" s="839">
        <f>ROW()</f>
        <v>53</v>
      </c>
      <c r="B53" s="849" t="s">
        <v>65</v>
      </c>
      <c r="C53" s="268" t="s">
        <v>1085</v>
      </c>
      <c r="D53" s="972">
        <f t="shared" si="1"/>
        <v>0</v>
      </c>
      <c r="E53" s="972">
        <f t="shared" si="1"/>
        <v>0</v>
      </c>
      <c r="G53" s="669" t="s">
        <v>1085</v>
      </c>
      <c r="H53" s="308">
        <v>0</v>
      </c>
      <c r="I53" s="308">
        <v>0</v>
      </c>
      <c r="J53" s="268"/>
      <c r="K53" s="969" t="s">
        <v>1085</v>
      </c>
      <c r="L53" s="960">
        <v>0</v>
      </c>
      <c r="M53" s="960">
        <v>0</v>
      </c>
    </row>
    <row r="54" spans="1:13" x14ac:dyDescent="0.35">
      <c r="A54" s="839">
        <f>ROW()</f>
        <v>54</v>
      </c>
      <c r="B54" s="849" t="s">
        <v>65</v>
      </c>
      <c r="C54" s="977" t="s">
        <v>1086</v>
      </c>
      <c r="D54" s="972">
        <f t="shared" si="1"/>
        <v>2826800</v>
      </c>
      <c r="E54" s="972">
        <f t="shared" si="1"/>
        <v>2826800</v>
      </c>
      <c r="G54" s="669" t="s">
        <v>1086</v>
      </c>
      <c r="H54" s="308">
        <v>1497800</v>
      </c>
      <c r="I54" s="308">
        <v>1497800</v>
      </c>
      <c r="J54" s="268"/>
      <c r="K54" s="969" t="s">
        <v>1086</v>
      </c>
      <c r="L54" s="960">
        <f>'Common Adj'!$DP$18</f>
        <v>1329000</v>
      </c>
      <c r="M54" s="960">
        <f>'Common Adj'!$DR$18</f>
        <v>1329000</v>
      </c>
    </row>
    <row r="55" spans="1:13" x14ac:dyDescent="0.35">
      <c r="A55" s="839">
        <f>ROW()</f>
        <v>55</v>
      </c>
      <c r="B55" s="849" t="s">
        <v>62</v>
      </c>
      <c r="C55" s="268" t="s">
        <v>1087</v>
      </c>
      <c r="D55" s="972">
        <f t="shared" si="1"/>
        <v>0</v>
      </c>
      <c r="E55" s="972">
        <f t="shared" si="1"/>
        <v>0</v>
      </c>
      <c r="G55" s="669" t="s">
        <v>1087</v>
      </c>
      <c r="H55" s="308">
        <v>0</v>
      </c>
      <c r="I55" s="308">
        <v>0</v>
      </c>
      <c r="J55" s="268"/>
      <c r="K55" s="969" t="s">
        <v>1087</v>
      </c>
      <c r="L55" s="960">
        <v>0</v>
      </c>
      <c r="M55" s="960">
        <v>0</v>
      </c>
    </row>
    <row r="56" spans="1:13" x14ac:dyDescent="0.35">
      <c r="A56" s="839">
        <f>ROW()</f>
        <v>56</v>
      </c>
      <c r="B56" s="849" t="s">
        <v>62</v>
      </c>
      <c r="C56" s="977" t="s">
        <v>1088</v>
      </c>
      <c r="D56" s="972">
        <f t="shared" si="1"/>
        <v>161821.67969425002</v>
      </c>
      <c r="E56" s="972">
        <f t="shared" si="1"/>
        <v>161821.67969425002</v>
      </c>
      <c r="G56" s="669" t="s">
        <v>1088</v>
      </c>
      <c r="H56" s="308">
        <v>131317.93692733094</v>
      </c>
      <c r="I56" s="308">
        <v>131317.93692733094</v>
      </c>
      <c r="J56" s="268"/>
      <c r="K56" s="969" t="s">
        <v>1088</v>
      </c>
      <c r="L56" s="960">
        <f>'Common Adj'!$HT$16</f>
        <v>30503.742766919091</v>
      </c>
      <c r="M56" s="960">
        <f>'Common Adj'!$HV$16</f>
        <v>30503.742766919091</v>
      </c>
    </row>
    <row r="57" spans="1:13" x14ac:dyDescent="0.35">
      <c r="A57" s="839">
        <f>ROW()</f>
        <v>57</v>
      </c>
      <c r="B57" s="849" t="s">
        <v>65</v>
      </c>
      <c r="C57" s="268" t="s">
        <v>1513</v>
      </c>
      <c r="D57" s="972">
        <f t="shared" si="1"/>
        <v>-4600263.1893108785</v>
      </c>
      <c r="E57" s="972">
        <f t="shared" si="1"/>
        <v>-5633923.9853656609</v>
      </c>
      <c r="G57" s="669" t="s">
        <v>1107</v>
      </c>
      <c r="H57" s="308">
        <v>-3499968.3571351273</v>
      </c>
      <c r="I57" s="308">
        <v>-3827004.5437978245</v>
      </c>
      <c r="J57" s="268"/>
      <c r="K57" s="969" t="s">
        <v>1107</v>
      </c>
      <c r="L57" s="960">
        <v>-1100294.8321757517</v>
      </c>
      <c r="M57" s="960">
        <v>-1806919.4415678368</v>
      </c>
    </row>
    <row r="58" spans="1:13" x14ac:dyDescent="0.35">
      <c r="A58" s="839">
        <f>ROW()</f>
        <v>58</v>
      </c>
      <c r="B58" s="849" t="s">
        <v>65</v>
      </c>
      <c r="C58" s="977" t="s">
        <v>1089</v>
      </c>
      <c r="D58" s="972">
        <f t="shared" si="1"/>
        <v>8383877.1986053465</v>
      </c>
      <c r="E58" s="972">
        <f t="shared" si="1"/>
        <v>8383877.1986053465</v>
      </c>
      <c r="G58" s="669" t="s">
        <v>1089</v>
      </c>
      <c r="H58" s="308">
        <v>6073280.6426697131</v>
      </c>
      <c r="I58" s="308">
        <v>6073280.6426697131</v>
      </c>
      <c r="J58" s="268"/>
      <c r="K58" s="969" t="s">
        <v>1089</v>
      </c>
      <c r="L58" s="960">
        <f>'Common Adj'!$KN$16</f>
        <v>2310596.5559356334</v>
      </c>
      <c r="M58" s="960">
        <f>'Common Adj'!$KP$16</f>
        <v>2310596.5559356334</v>
      </c>
    </row>
    <row r="59" spans="1:13" x14ac:dyDescent="0.35">
      <c r="A59" s="839">
        <f>ROW()</f>
        <v>59</v>
      </c>
      <c r="B59" s="849" t="s">
        <v>65</v>
      </c>
      <c r="C59" s="268" t="s">
        <v>1514</v>
      </c>
      <c r="D59" s="972">
        <f t="shared" si="1"/>
        <v>-561018.16185288969</v>
      </c>
      <c r="E59" s="972">
        <f t="shared" si="1"/>
        <v>-758981.83814711031</v>
      </c>
      <c r="G59" s="669" t="s">
        <v>1108</v>
      </c>
      <c r="H59" s="308">
        <v>-280509.08092644485</v>
      </c>
      <c r="I59" s="308">
        <v>-379490.91907355515</v>
      </c>
      <c r="J59" s="268"/>
      <c r="K59" s="969" t="s">
        <v>1514</v>
      </c>
      <c r="L59" s="960">
        <v>-280509.08092644485</v>
      </c>
      <c r="M59" s="960">
        <v>-379490.91907355515</v>
      </c>
    </row>
    <row r="60" spans="1:13" x14ac:dyDescent="0.35">
      <c r="A60" s="839">
        <f>ROW()</f>
        <v>60</v>
      </c>
      <c r="B60" s="849" t="s">
        <v>65</v>
      </c>
      <c r="C60" s="977" t="s">
        <v>1090</v>
      </c>
      <c r="D60" s="972">
        <f t="shared" si="1"/>
        <v>745571.87926407042</v>
      </c>
      <c r="E60" s="972">
        <f t="shared" si="1"/>
        <v>745571.87926407042</v>
      </c>
      <c r="G60" s="669" t="s">
        <v>1090</v>
      </c>
      <c r="H60" s="308">
        <v>324564.45854552556</v>
      </c>
      <c r="I60" s="308">
        <v>324564.45854552556</v>
      </c>
      <c r="J60" s="268"/>
      <c r="K60" s="969" t="s">
        <v>1090</v>
      </c>
      <c r="L60" s="960">
        <f>'Common Adj'!$FR$20</f>
        <v>421007.42071854492</v>
      </c>
      <c r="M60" s="960">
        <f>'Common Adj'!$FT$20</f>
        <v>421007.42071854492</v>
      </c>
    </row>
    <row r="61" spans="1:13" x14ac:dyDescent="0.35">
      <c r="A61" s="839">
        <f>ROW()</f>
        <v>61</v>
      </c>
      <c r="C61" s="268" t="s">
        <v>1515</v>
      </c>
      <c r="D61" s="972">
        <f t="shared" si="1"/>
        <v>0</v>
      </c>
      <c r="E61" s="972">
        <f t="shared" si="1"/>
        <v>0</v>
      </c>
      <c r="G61" s="669" t="s">
        <v>1515</v>
      </c>
      <c r="H61" s="308">
        <v>0</v>
      </c>
      <c r="I61" s="308">
        <v>0</v>
      </c>
      <c r="J61" s="268"/>
      <c r="K61" s="969" t="s">
        <v>1091</v>
      </c>
      <c r="L61" s="308">
        <v>0</v>
      </c>
      <c r="M61" s="308">
        <v>0</v>
      </c>
    </row>
    <row r="62" spans="1:13" x14ac:dyDescent="0.35">
      <c r="A62" s="839">
        <f>ROW()</f>
        <v>62</v>
      </c>
      <c r="B62" s="849" t="s">
        <v>59</v>
      </c>
      <c r="C62" s="268" t="s">
        <v>1582</v>
      </c>
      <c r="D62" s="972">
        <f t="shared" si="1"/>
        <v>0</v>
      </c>
      <c r="E62" s="972">
        <f t="shared" si="1"/>
        <v>0</v>
      </c>
      <c r="G62" s="669" t="s">
        <v>1582</v>
      </c>
      <c r="H62" s="308">
        <v>0</v>
      </c>
      <c r="I62" s="308">
        <v>0</v>
      </c>
      <c r="J62" s="268"/>
      <c r="K62" s="969" t="s">
        <v>1582</v>
      </c>
      <c r="L62" s="308">
        <v>0</v>
      </c>
      <c r="M62" s="308">
        <v>0</v>
      </c>
    </row>
    <row r="63" spans="1:13" x14ac:dyDescent="0.35">
      <c r="A63" s="839">
        <f>ROW()</f>
        <v>63</v>
      </c>
      <c r="B63" s="849" t="s">
        <v>59</v>
      </c>
      <c r="C63" s="977" t="s">
        <v>1092</v>
      </c>
      <c r="D63" s="972">
        <f t="shared" si="1"/>
        <v>245146.03789556978</v>
      </c>
      <c r="E63" s="972">
        <f t="shared" si="1"/>
        <v>245287.32522635796</v>
      </c>
      <c r="G63" s="268" t="s">
        <v>1092</v>
      </c>
      <c r="H63" s="308">
        <v>0</v>
      </c>
      <c r="I63" s="308">
        <v>0</v>
      </c>
      <c r="J63" s="268"/>
      <c r="K63" s="969" t="s">
        <v>1092</v>
      </c>
      <c r="L63" s="960">
        <f>SUM('Common Adj'!GJ17:GJ19)</f>
        <v>245146.03789556978</v>
      </c>
      <c r="M63" s="960">
        <f>SUM('Common Adj'!GL17:GL19)</f>
        <v>245287.32522635796</v>
      </c>
    </row>
    <row r="64" spans="1:13" x14ac:dyDescent="0.35">
      <c r="A64" s="839">
        <f>ROW()</f>
        <v>64</v>
      </c>
      <c r="B64" s="849" t="s">
        <v>60</v>
      </c>
      <c r="C64" s="977" t="s">
        <v>1092</v>
      </c>
      <c r="D64" s="972">
        <f t="shared" si="1"/>
        <v>875454.3735414556</v>
      </c>
      <c r="E64" s="972">
        <f t="shared" si="1"/>
        <v>875958.93242695229</v>
      </c>
      <c r="G64" s="268" t="s">
        <v>1092</v>
      </c>
      <c r="H64" s="308">
        <v>875454.3735414556</v>
      </c>
      <c r="I64" s="308">
        <v>875958.93242695229</v>
      </c>
      <c r="J64" s="268"/>
      <c r="K64" s="969" t="s">
        <v>1092</v>
      </c>
      <c r="L64" s="960"/>
      <c r="M64" s="960"/>
    </row>
    <row r="65" spans="1:13" x14ac:dyDescent="0.35">
      <c r="A65" s="839">
        <f>ROW()</f>
        <v>65</v>
      </c>
      <c r="B65" s="849" t="s">
        <v>61</v>
      </c>
      <c r="C65" s="977" t="s">
        <v>1092</v>
      </c>
      <c r="D65" s="972">
        <f t="shared" si="1"/>
        <v>4137815.7755388441</v>
      </c>
      <c r="E65" s="972">
        <f t="shared" si="1"/>
        <v>4140200.5902163205</v>
      </c>
      <c r="G65" s="268" t="s">
        <v>1092</v>
      </c>
      <c r="H65" s="308">
        <v>2673324.3976851734</v>
      </c>
      <c r="I65" s="308">
        <v>2674865.1399778998</v>
      </c>
      <c r="J65" s="268"/>
      <c r="K65" s="969" t="s">
        <v>1092</v>
      </c>
      <c r="L65" s="960">
        <f>'Common Adj'!GJ21</f>
        <v>1464491.3778536709</v>
      </c>
      <c r="M65" s="960">
        <f>'Common Adj'!GL21</f>
        <v>1465335.4502384206</v>
      </c>
    </row>
    <row r="66" spans="1:13" x14ac:dyDescent="0.35">
      <c r="A66" s="839">
        <f>ROW()</f>
        <v>66</v>
      </c>
      <c r="B66" s="849" t="s">
        <v>62</v>
      </c>
      <c r="C66" s="977" t="s">
        <v>1092</v>
      </c>
      <c r="D66" s="972">
        <f t="shared" si="1"/>
        <v>973004.55626519676</v>
      </c>
      <c r="E66" s="972">
        <f t="shared" si="1"/>
        <v>973565.33716861065</v>
      </c>
      <c r="G66" s="268" t="s">
        <v>1092</v>
      </c>
      <c r="H66" s="308">
        <v>645683.07270617294</v>
      </c>
      <c r="I66" s="308">
        <v>646055.20532826579</v>
      </c>
      <c r="J66" s="268"/>
      <c r="K66" s="969" t="s">
        <v>1092</v>
      </c>
      <c r="L66" s="960">
        <f>'Common Adj'!GJ22</f>
        <v>327321.48355902376</v>
      </c>
      <c r="M66" s="960">
        <f>'Common Adj'!GL22</f>
        <v>327510.13184034493</v>
      </c>
    </row>
    <row r="67" spans="1:13" x14ac:dyDescent="0.35">
      <c r="A67" s="839">
        <f>ROW()</f>
        <v>67</v>
      </c>
      <c r="B67" s="849" t="s">
        <v>63</v>
      </c>
      <c r="C67" s="977" t="s">
        <v>1092</v>
      </c>
      <c r="D67" s="972">
        <f t="shared" si="1"/>
        <v>290476.2129371324</v>
      </c>
      <c r="E67" s="972">
        <f t="shared" si="1"/>
        <v>290643.62583572813</v>
      </c>
      <c r="G67" s="268" t="s">
        <v>1092</v>
      </c>
      <c r="H67" s="308">
        <v>234037.65819038326</v>
      </c>
      <c r="I67" s="308">
        <v>234172.54332380617</v>
      </c>
      <c r="J67" s="268"/>
      <c r="K67" s="969" t="s">
        <v>1092</v>
      </c>
      <c r="L67" s="960">
        <f>SUM('Common Adj'!GJ23:GJ24)</f>
        <v>56438.554746749163</v>
      </c>
      <c r="M67" s="960">
        <f>SUM('Common Adj'!GL23:GL24)</f>
        <v>56471.082511921973</v>
      </c>
    </row>
    <row r="68" spans="1:13" x14ac:dyDescent="0.35">
      <c r="A68" s="839">
        <f>ROW()</f>
        <v>68</v>
      </c>
      <c r="B68" s="849" t="s">
        <v>65</v>
      </c>
      <c r="C68" s="977" t="s">
        <v>1092</v>
      </c>
      <c r="D68" s="972">
        <f t="shared" si="1"/>
        <v>4159145.3546469454</v>
      </c>
      <c r="E68" s="972">
        <f t="shared" si="1"/>
        <v>4161542.4341615178</v>
      </c>
      <c r="G68" s="268" t="s">
        <v>1092</v>
      </c>
      <c r="H68" s="308">
        <v>3178379.8274597824</v>
      </c>
      <c r="I68" s="308">
        <v>3180211.653117287</v>
      </c>
      <c r="J68" s="268"/>
      <c r="K68" s="969" t="s">
        <v>1092</v>
      </c>
      <c r="L68" s="960">
        <f>'Common Adj'!GJ25</f>
        <v>980765.52718716278</v>
      </c>
      <c r="M68" s="960">
        <f>'Common Adj'!GL25</f>
        <v>981330.78104423056</v>
      </c>
    </row>
    <row r="69" spans="1:13" x14ac:dyDescent="0.35">
      <c r="A69" s="839">
        <f>ROW()</f>
        <v>69</v>
      </c>
      <c r="B69" s="849" t="s">
        <v>59</v>
      </c>
      <c r="C69" s="268" t="s">
        <v>1516</v>
      </c>
      <c r="D69" s="972">
        <f t="shared" si="1"/>
        <v>-99929274.275017887</v>
      </c>
      <c r="E69" s="972">
        <f t="shared" si="1"/>
        <v>-109458109.73966143</v>
      </c>
      <c r="F69" s="268"/>
      <c r="G69" s="669" t="s">
        <v>1280</v>
      </c>
      <c r="H69" s="308">
        <v>-99929274.275017887</v>
      </c>
      <c r="I69" s="308">
        <v>-109458109.73966143</v>
      </c>
      <c r="J69" s="268"/>
      <c r="K69" s="969"/>
      <c r="L69" s="960">
        <v>0</v>
      </c>
      <c r="M69" s="960">
        <v>0</v>
      </c>
    </row>
    <row r="70" spans="1:13" x14ac:dyDescent="0.35">
      <c r="A70" s="839">
        <f>ROW()</f>
        <v>70</v>
      </c>
      <c r="B70" s="849" t="s">
        <v>59</v>
      </c>
      <c r="C70" s="977" t="s">
        <v>1517</v>
      </c>
      <c r="D70" s="972">
        <f t="shared" si="1"/>
        <v>99929274.275017902</v>
      </c>
      <c r="E70" s="972">
        <f t="shared" si="1"/>
        <v>109458109.73966144</v>
      </c>
      <c r="F70" s="268"/>
      <c r="G70" s="669" t="s">
        <v>1517</v>
      </c>
      <c r="H70" s="308">
        <v>99929274.275017902</v>
      </c>
      <c r="I70" s="308">
        <v>109458109.73966144</v>
      </c>
      <c r="J70" s="268"/>
      <c r="K70" s="969"/>
      <c r="L70" s="960"/>
      <c r="M70" s="960"/>
    </row>
    <row r="71" spans="1:13" x14ac:dyDescent="0.35">
      <c r="A71" s="839">
        <f>ROW()</f>
        <v>71</v>
      </c>
      <c r="B71" s="849"/>
      <c r="C71" s="1002"/>
      <c r="D71" s="972"/>
      <c r="E71" s="972"/>
      <c r="F71" s="268"/>
      <c r="G71" s="807"/>
      <c r="H71" s="308"/>
      <c r="I71" s="308"/>
      <c r="J71" s="268"/>
      <c r="K71" s="969"/>
      <c r="L71" s="960"/>
      <c r="M71" s="960"/>
    </row>
    <row r="72" spans="1:13" x14ac:dyDescent="0.35">
      <c r="A72" s="839">
        <f>ROW()</f>
        <v>72</v>
      </c>
      <c r="B72" s="852"/>
      <c r="C72" s="268" t="s">
        <v>1518</v>
      </c>
      <c r="D72" s="972">
        <f t="shared" si="1"/>
        <v>0</v>
      </c>
      <c r="E72" s="972">
        <f t="shared" si="1"/>
        <v>0</v>
      </c>
      <c r="F72" s="268"/>
      <c r="G72" s="669" t="s">
        <v>1093</v>
      </c>
      <c r="H72" s="308">
        <v>0</v>
      </c>
      <c r="I72" s="308">
        <v>0</v>
      </c>
      <c r="J72" s="268"/>
      <c r="K72" s="969"/>
      <c r="L72" s="960"/>
      <c r="M72" s="960"/>
    </row>
    <row r="73" spans="1:13" x14ac:dyDescent="0.35">
      <c r="A73" s="839">
        <f>ROW()</f>
        <v>73</v>
      </c>
      <c r="B73" s="849" t="s">
        <v>61</v>
      </c>
      <c r="C73" s="977" t="s">
        <v>1094</v>
      </c>
      <c r="D73" s="972">
        <f t="shared" si="1"/>
        <v>9064139.9454527181</v>
      </c>
      <c r="E73" s="972">
        <f t="shared" si="1"/>
        <v>9064139.9454527181</v>
      </c>
      <c r="F73" s="268"/>
      <c r="G73" s="669" t="s">
        <v>1094</v>
      </c>
      <c r="H73" s="308">
        <v>9064139.9454527181</v>
      </c>
      <c r="I73" s="308">
        <v>9064139.9454527181</v>
      </c>
      <c r="J73" s="268"/>
      <c r="K73" s="969"/>
      <c r="L73" s="960"/>
      <c r="M73" s="960"/>
    </row>
    <row r="74" spans="1:13" x14ac:dyDescent="0.35">
      <c r="A74" s="839">
        <f>ROW()</f>
        <v>74</v>
      </c>
      <c r="B74" s="849" t="s">
        <v>60</v>
      </c>
      <c r="C74" s="977" t="s">
        <v>1094</v>
      </c>
      <c r="D74" s="976">
        <f t="shared" si="1"/>
        <v>935860.05454728159</v>
      </c>
      <c r="E74" s="976">
        <f t="shared" si="1"/>
        <v>935860.05454728159</v>
      </c>
      <c r="F74" s="268"/>
      <c r="G74" s="669" t="s">
        <v>1094</v>
      </c>
      <c r="H74" s="962">
        <v>935860.05454728159</v>
      </c>
      <c r="I74" s="962">
        <v>935860.05454728159</v>
      </c>
      <c r="J74" s="268"/>
      <c r="K74" s="969"/>
      <c r="L74" s="963"/>
      <c r="M74" s="963"/>
    </row>
    <row r="75" spans="1:13" x14ac:dyDescent="0.35">
      <c r="A75" s="839">
        <f>ROW()</f>
        <v>75</v>
      </c>
      <c r="B75" s="849" t="s">
        <v>65</v>
      </c>
      <c r="C75" s="977" t="s">
        <v>1596</v>
      </c>
      <c r="D75" s="236">
        <f t="shared" ref="D75:E76" si="2">SUM(H75,L75)</f>
        <v>200000</v>
      </c>
      <c r="E75" s="236">
        <f t="shared" si="2"/>
        <v>200000</v>
      </c>
      <c r="F75" s="268"/>
      <c r="G75" s="669" t="s">
        <v>1596</v>
      </c>
      <c r="H75" s="308">
        <v>138000</v>
      </c>
      <c r="I75" s="308">
        <v>138000</v>
      </c>
      <c r="J75" s="268"/>
      <c r="K75" s="969" t="s">
        <v>1596</v>
      </c>
      <c r="L75" s="960">
        <f>'Detailed Summary'!$AM$220</f>
        <v>62000</v>
      </c>
      <c r="M75" s="960">
        <f>'Detailed Summary'!$AM$220</f>
        <v>62000</v>
      </c>
    </row>
    <row r="76" spans="1:13" x14ac:dyDescent="0.35">
      <c r="A76" s="839">
        <f>ROW()</f>
        <v>76</v>
      </c>
      <c r="B76" s="849" t="s">
        <v>65</v>
      </c>
      <c r="C76" s="977" t="s">
        <v>1597</v>
      </c>
      <c r="D76" s="236">
        <f t="shared" si="2"/>
        <v>966855.57471721619</v>
      </c>
      <c r="E76" s="236">
        <f t="shared" si="2"/>
        <v>1000695.5198323184</v>
      </c>
      <c r="F76" s="268"/>
      <c r="G76" s="669" t="s">
        <v>1597</v>
      </c>
      <c r="H76" s="308">
        <v>563096.68671530671</v>
      </c>
      <c r="I76" s="308">
        <v>582805.07075034222</v>
      </c>
      <c r="J76" s="268"/>
      <c r="K76" s="969" t="s">
        <v>1597</v>
      </c>
      <c r="L76" s="960">
        <f>'Detailed Summary'!$AO$220</f>
        <v>403758.88800190948</v>
      </c>
      <c r="M76" s="960">
        <f>'Detailed Summary'!$AO$220+'Detailed Summary'!$AO$281</f>
        <v>417890.4490819762</v>
      </c>
    </row>
    <row r="77" spans="1:13" x14ac:dyDescent="0.35">
      <c r="A77" s="839">
        <f>ROW()</f>
        <v>77</v>
      </c>
      <c r="B77" s="884"/>
      <c r="C77" s="268"/>
      <c r="D77" s="972"/>
      <c r="E77" s="972"/>
      <c r="F77" s="268"/>
      <c r="G77" s="669"/>
      <c r="H77" s="308"/>
      <c r="I77" s="308"/>
      <c r="J77" s="268"/>
      <c r="K77" s="969"/>
      <c r="L77" s="960"/>
      <c r="M77" s="960"/>
    </row>
    <row r="78" spans="1:13" ht="14.25" customHeight="1" x14ac:dyDescent="0.35">
      <c r="A78" s="839">
        <f>ROW()</f>
        <v>78</v>
      </c>
      <c r="C78" s="140" t="s">
        <v>1519</v>
      </c>
      <c r="D78" s="972"/>
      <c r="E78" s="972"/>
      <c r="F78" s="268"/>
      <c r="G78" s="669"/>
      <c r="H78" s="308"/>
      <c r="I78" s="308"/>
      <c r="J78" s="268"/>
      <c r="K78" s="969"/>
      <c r="L78" s="969"/>
      <c r="M78" s="969"/>
    </row>
    <row r="79" spans="1:13" ht="14.25" customHeight="1" x14ac:dyDescent="0.35">
      <c r="A79" s="839">
        <f>ROW()</f>
        <v>79</v>
      </c>
      <c r="B79" s="849" t="s">
        <v>62</v>
      </c>
      <c r="C79" s="977" t="s">
        <v>1520</v>
      </c>
      <c r="D79" s="972">
        <f t="shared" ref="D79:E86" si="3">SUM(H79,L79)</f>
        <v>-744437.67705617636</v>
      </c>
      <c r="E79" s="972">
        <f t="shared" si="3"/>
        <v>-569173.90327802545</v>
      </c>
      <c r="F79" s="977"/>
      <c r="G79" s="669" t="s">
        <v>1275</v>
      </c>
      <c r="H79" s="1255">
        <f>'BD-FF'!C14</f>
        <v>-689484.1852481548</v>
      </c>
      <c r="I79" s="1255">
        <f>'BD-FF'!D14</f>
        <v>-512813.23745700391</v>
      </c>
      <c r="J79" s="977"/>
      <c r="K79" s="969" t="s">
        <v>1275</v>
      </c>
      <c r="L79" s="1256">
        <f>'BD-FF'!E14</f>
        <v>-54953.491808021558</v>
      </c>
      <c r="M79" s="1256">
        <f>'BD-FF'!F14</f>
        <v>-56360.665821021561</v>
      </c>
    </row>
    <row r="80" spans="1:13" ht="14.25" customHeight="1" x14ac:dyDescent="0.35">
      <c r="A80" s="839">
        <f>ROW()</f>
        <v>80</v>
      </c>
      <c r="B80" s="849" t="s">
        <v>62</v>
      </c>
      <c r="C80" s="977" t="s">
        <v>1520</v>
      </c>
      <c r="D80" s="972">
        <f t="shared" si="3"/>
        <v>-4015654.4733689027</v>
      </c>
      <c r="E80" s="972">
        <f t="shared" si="3"/>
        <v>-4015654.4733689027</v>
      </c>
      <c r="G80" s="669" t="s">
        <v>1417</v>
      </c>
      <c r="H80" s="1255">
        <f>'BD-FF'!C21</f>
        <v>-1943095.8498527789</v>
      </c>
      <c r="I80" s="1255">
        <f>'BD-FF'!D21</f>
        <v>-1943095.8498527789</v>
      </c>
      <c r="K80" s="969" t="s">
        <v>1417</v>
      </c>
      <c r="L80" s="960">
        <f>'BD-FF'!E21</f>
        <v>-2072558.6235161237</v>
      </c>
      <c r="M80" s="960">
        <f>'BD-FF'!F21</f>
        <v>-2072558.6235161237</v>
      </c>
    </row>
    <row r="81" spans="1:13" ht="14.25" customHeight="1" x14ac:dyDescent="0.35">
      <c r="A81" s="839">
        <f>ROW()</f>
        <v>81</v>
      </c>
      <c r="B81" s="849" t="s">
        <v>62</v>
      </c>
      <c r="C81" s="977" t="s">
        <v>1520</v>
      </c>
      <c r="D81" s="972">
        <f t="shared" si="3"/>
        <v>-476380.99403509719</v>
      </c>
      <c r="E81" s="972">
        <f t="shared" si="3"/>
        <v>-476380.99403509719</v>
      </c>
      <c r="G81" s="669" t="s">
        <v>1480</v>
      </c>
      <c r="H81" s="1255">
        <f>'BD-FF'!C28</f>
        <v>-408308.20104000001</v>
      </c>
      <c r="I81" s="1255">
        <f>'BD-FF'!D28</f>
        <v>-408308.20104000001</v>
      </c>
      <c r="K81" s="969" t="s">
        <v>1480</v>
      </c>
      <c r="L81" s="960">
        <f>'BD-FF'!E28</f>
        <v>-68072.792995097188</v>
      </c>
      <c r="M81" s="960">
        <f>'BD-FF'!F28</f>
        <v>-68072.792995097188</v>
      </c>
    </row>
    <row r="82" spans="1:13" x14ac:dyDescent="0.35">
      <c r="A82" s="839">
        <f>ROW()</f>
        <v>82</v>
      </c>
      <c r="B82" s="849" t="s">
        <v>62</v>
      </c>
      <c r="C82" s="977" t="s">
        <v>1520</v>
      </c>
      <c r="D82" s="972">
        <f t="shared" si="3"/>
        <v>-170410.89333087998</v>
      </c>
      <c r="E82" s="972">
        <f t="shared" si="3"/>
        <v>-170410.89333087998</v>
      </c>
      <c r="G82" s="669" t="s">
        <v>1583</v>
      </c>
      <c r="H82" s="1255">
        <f>'BD-FF'!C35</f>
        <v>-170410.89333087998</v>
      </c>
      <c r="I82" s="1255">
        <f>'BD-FF'!D35</f>
        <v>-170410.89333087998</v>
      </c>
      <c r="K82" s="969"/>
      <c r="L82" s="969"/>
      <c r="M82" s="969"/>
    </row>
    <row r="83" spans="1:13" x14ac:dyDescent="0.35">
      <c r="A83" s="839">
        <f>ROW()</f>
        <v>83</v>
      </c>
      <c r="B83" s="849" t="s">
        <v>62</v>
      </c>
      <c r="C83" s="977" t="s">
        <v>1520</v>
      </c>
      <c r="D83" s="972">
        <f t="shared" si="3"/>
        <v>-13088.065407360002</v>
      </c>
      <c r="E83" s="972">
        <f t="shared" si="3"/>
        <v>-13088.065407360002</v>
      </c>
      <c r="G83" s="669" t="s">
        <v>1584</v>
      </c>
      <c r="H83" s="308">
        <f>'BD-FF'!C42</f>
        <v>-13088.065407360002</v>
      </c>
      <c r="I83" s="308">
        <f>'BD-FF'!D42</f>
        <v>-13088.065407360002</v>
      </c>
      <c r="K83" s="969"/>
      <c r="L83" s="969"/>
      <c r="M83" s="969"/>
    </row>
    <row r="84" spans="1:13" x14ac:dyDescent="0.35">
      <c r="A84" s="839">
        <f>ROW()</f>
        <v>84</v>
      </c>
      <c r="B84" s="849" t="s">
        <v>62</v>
      </c>
      <c r="C84" s="977" t="s">
        <v>1520</v>
      </c>
      <c r="D84" s="972">
        <f t="shared" ref="D84:D85" si="4">SUM(H84,L84)</f>
        <v>-61248.957405219997</v>
      </c>
      <c r="E84" s="972">
        <f t="shared" ref="E84:E85" si="5">SUM(I84,M84)</f>
        <v>-61248.957405219997</v>
      </c>
      <c r="G84" s="669" t="s">
        <v>1615</v>
      </c>
      <c r="H84" s="308">
        <f>'BD-FF'!C49</f>
        <v>-50135.465924799995</v>
      </c>
      <c r="I84" s="308">
        <f>'BD-FF'!D49</f>
        <v>-50135.465924799995</v>
      </c>
      <c r="K84" s="969" t="s">
        <v>1615</v>
      </c>
      <c r="L84" s="960">
        <f>'BD-FF'!E49</f>
        <v>-11113.49148042</v>
      </c>
      <c r="M84" s="960">
        <f>'BD-FF'!F49</f>
        <v>-11113.49148042</v>
      </c>
    </row>
    <row r="85" spans="1:13" x14ac:dyDescent="0.35">
      <c r="A85" s="839">
        <f>ROW()</f>
        <v>85</v>
      </c>
      <c r="B85" s="849" t="s">
        <v>62</v>
      </c>
      <c r="C85" s="977" t="s">
        <v>1520</v>
      </c>
      <c r="D85" s="972">
        <f t="shared" si="4"/>
        <v>-58331.592945960001</v>
      </c>
      <c r="E85" s="972">
        <f t="shared" si="5"/>
        <v>-58331.592945960001</v>
      </c>
      <c r="G85" s="669" t="s">
        <v>1616</v>
      </c>
      <c r="H85" s="308">
        <f>'BD-FF'!C56</f>
        <v>-277.10682695999998</v>
      </c>
      <c r="I85" s="308">
        <f>'BD-FF'!D56</f>
        <v>-277.10682695999998</v>
      </c>
      <c r="K85" s="969" t="s">
        <v>1664</v>
      </c>
      <c r="L85" s="960">
        <f>'BD-FF'!E56</f>
        <v>-58054.486119000001</v>
      </c>
      <c r="M85" s="960">
        <f>'BD-FF'!F56</f>
        <v>-58054.486119000001</v>
      </c>
    </row>
    <row r="86" spans="1:13" x14ac:dyDescent="0.35">
      <c r="A86" s="839">
        <f>ROW()</f>
        <v>86</v>
      </c>
      <c r="B86" s="849" t="s">
        <v>62</v>
      </c>
      <c r="C86" s="977" t="s">
        <v>1520</v>
      </c>
      <c r="D86" s="972">
        <f t="shared" si="3"/>
        <v>-261.40152</v>
      </c>
      <c r="E86" s="972">
        <f t="shared" si="3"/>
        <v>-261.40152</v>
      </c>
      <c r="F86" s="268"/>
      <c r="G86" s="669" t="s">
        <v>1585</v>
      </c>
      <c r="H86" s="308">
        <f>'BD-FF'!C63</f>
        <v>-261.40152</v>
      </c>
      <c r="I86" s="308">
        <f>'BD-FF'!D63</f>
        <v>-261.40152</v>
      </c>
      <c r="J86" s="268"/>
      <c r="K86" s="969"/>
      <c r="L86" s="969"/>
      <c r="M86" s="969"/>
    </row>
    <row r="87" spans="1:13" x14ac:dyDescent="0.35">
      <c r="A87" s="839">
        <f>ROW()</f>
        <v>87</v>
      </c>
      <c r="D87" s="972"/>
      <c r="E87" s="972"/>
      <c r="F87" s="972"/>
      <c r="G87" s="669"/>
      <c r="H87" s="308"/>
      <c r="I87" s="308"/>
      <c r="J87" s="972"/>
      <c r="K87" s="969"/>
      <c r="L87" s="969"/>
      <c r="M87" s="969"/>
    </row>
    <row r="88" spans="1:13" x14ac:dyDescent="0.35">
      <c r="A88" s="839">
        <f>ROW()</f>
        <v>88</v>
      </c>
      <c r="D88" s="972"/>
      <c r="E88" s="972"/>
      <c r="F88" s="972"/>
      <c r="G88" s="669"/>
      <c r="H88" s="308"/>
      <c r="I88" s="308"/>
      <c r="J88" s="972"/>
      <c r="K88" s="969"/>
      <c r="L88" s="969"/>
      <c r="M88" s="969"/>
    </row>
    <row r="89" spans="1:13" x14ac:dyDescent="0.35">
      <c r="A89" s="839">
        <f>ROW()</f>
        <v>89</v>
      </c>
      <c r="D89" s="972"/>
      <c r="E89" s="972"/>
      <c r="F89" s="268"/>
      <c r="G89" s="669"/>
      <c r="H89" s="669"/>
      <c r="I89" s="669"/>
      <c r="J89" s="268"/>
      <c r="K89" s="969"/>
      <c r="L89" s="969"/>
      <c r="M89" s="969"/>
    </row>
    <row r="90" spans="1:13" x14ac:dyDescent="0.35">
      <c r="A90" s="839">
        <f>ROW()</f>
        <v>90</v>
      </c>
      <c r="B90" s="849" t="s">
        <v>65</v>
      </c>
      <c r="C90" s="977" t="s">
        <v>1521</v>
      </c>
      <c r="D90" s="972">
        <f t="shared" ref="D90:E97" si="6">SUM(H90,L90)</f>
        <v>-501116.61523706163</v>
      </c>
      <c r="E90" s="972">
        <f t="shared" si="6"/>
        <v>-394141.91782204865</v>
      </c>
      <c r="G90" s="669" t="s">
        <v>1275</v>
      </c>
      <c r="H90" s="1255">
        <f>'BD-FF'!C72</f>
        <v>-425082.72826643335</v>
      </c>
      <c r="I90" s="1255">
        <f>'BD-FF'!D72</f>
        <v>-316161.05885142041</v>
      </c>
      <c r="K90" s="969" t="s">
        <v>1275</v>
      </c>
      <c r="L90" s="960">
        <f>'BD-FF'!E72</f>
        <v>-76033.886970628271</v>
      </c>
      <c r="M90" s="960">
        <f>'BD-FF'!F72</f>
        <v>-77980.858970628266</v>
      </c>
    </row>
    <row r="91" spans="1:13" x14ac:dyDescent="0.35">
      <c r="A91" s="839">
        <f>ROW()</f>
        <v>91</v>
      </c>
      <c r="B91" s="849" t="s">
        <v>65</v>
      </c>
      <c r="C91" s="977" t="s">
        <v>1521</v>
      </c>
      <c r="D91" s="972">
        <f t="shared" si="6"/>
        <v>-4065563.9171221447</v>
      </c>
      <c r="E91" s="972">
        <f t="shared" si="6"/>
        <v>-4065563.9171221447</v>
      </c>
      <c r="G91" s="669" t="s">
        <v>1417</v>
      </c>
      <c r="H91" s="1255">
        <f>'BD-FF'!C79</f>
        <v>-1197962.9160621325</v>
      </c>
      <c r="I91" s="1255">
        <f>'BD-FF'!D79</f>
        <v>-1197962.9160621325</v>
      </c>
      <c r="K91" s="969" t="s">
        <v>1417</v>
      </c>
      <c r="L91" s="960">
        <f>'BD-FF'!E79</f>
        <v>-2867601.0010600123</v>
      </c>
      <c r="M91" s="960">
        <f>'BD-FF'!F79</f>
        <v>-2867601.0010600123</v>
      </c>
    </row>
    <row r="92" spans="1:13" x14ac:dyDescent="0.35">
      <c r="A92" s="839">
        <f>ROW()</f>
        <v>92</v>
      </c>
      <c r="B92" s="849" t="s">
        <v>65</v>
      </c>
      <c r="C92" s="977" t="s">
        <v>1521</v>
      </c>
      <c r="D92" s="972">
        <f t="shared" si="6"/>
        <v>-345917.12836402241</v>
      </c>
      <c r="E92" s="972">
        <f t="shared" si="6"/>
        <v>-345917.12836402241</v>
      </c>
      <c r="G92" s="669" t="s">
        <v>1480</v>
      </c>
      <c r="H92" s="1255">
        <f>'BD-FF'!C86</f>
        <v>-251731.32</v>
      </c>
      <c r="I92" s="1255">
        <f>'BD-FF'!D86</f>
        <v>-251731.32</v>
      </c>
      <c r="K92" s="969" t="s">
        <v>1480</v>
      </c>
      <c r="L92" s="960">
        <f>'BD-FF'!E86</f>
        <v>-94185.808364022407</v>
      </c>
      <c r="M92" s="960">
        <f>'BD-FF'!F86</f>
        <v>-94185.808364022407</v>
      </c>
    </row>
    <row r="93" spans="1:13" x14ac:dyDescent="0.35">
      <c r="A93" s="839">
        <f>ROW()</f>
        <v>93</v>
      </c>
      <c r="B93" s="849" t="s">
        <v>65</v>
      </c>
      <c r="C93" s="977" t="s">
        <v>1521</v>
      </c>
      <c r="D93" s="972">
        <f t="shared" si="6"/>
        <v>-105062.20303999999</v>
      </c>
      <c r="E93" s="972">
        <f t="shared" si="6"/>
        <v>-105062.20303999999</v>
      </c>
      <c r="G93" s="669" t="s">
        <v>1583</v>
      </c>
      <c r="H93" s="308">
        <f>'BD-FF'!C93</f>
        <v>-105062.20303999999</v>
      </c>
      <c r="I93" s="308">
        <f>'BD-FF'!D93</f>
        <v>-105062.20303999999</v>
      </c>
      <c r="K93" s="969"/>
      <c r="L93" s="969"/>
      <c r="M93" s="969"/>
    </row>
    <row r="94" spans="1:13" x14ac:dyDescent="0.35">
      <c r="A94" s="839">
        <f>ROW()</f>
        <v>94</v>
      </c>
      <c r="B94" s="849" t="s">
        <v>65</v>
      </c>
      <c r="C94" s="977" t="s">
        <v>1521</v>
      </c>
      <c r="D94" s="972">
        <f t="shared" si="6"/>
        <v>-8069.0908800000007</v>
      </c>
      <c r="E94" s="972">
        <f t="shared" si="6"/>
        <v>-8069.0908800000007</v>
      </c>
      <c r="G94" s="669" t="s">
        <v>1584</v>
      </c>
      <c r="H94" s="308">
        <f>'BD-FF'!C100</f>
        <v>-8069.0908800000007</v>
      </c>
      <c r="I94" s="308">
        <f>'BD-FF'!D100</f>
        <v>-8069.0908800000007</v>
      </c>
      <c r="K94" s="969"/>
      <c r="L94" s="969"/>
      <c r="M94" s="969"/>
    </row>
    <row r="95" spans="1:13" x14ac:dyDescent="0.35">
      <c r="A95" s="839">
        <f>ROW()</f>
        <v>95</v>
      </c>
      <c r="B95" s="849" t="s">
        <v>65</v>
      </c>
      <c r="C95" s="977" t="s">
        <v>1521</v>
      </c>
      <c r="D95" s="972">
        <f t="shared" si="6"/>
        <v>-46286.332880000002</v>
      </c>
      <c r="E95" s="972">
        <f t="shared" si="6"/>
        <v>-46286.332880000002</v>
      </c>
      <c r="G95" s="669" t="s">
        <v>1615</v>
      </c>
      <c r="H95" s="308">
        <f>'BD-FF'!C107</f>
        <v>-30909.6584</v>
      </c>
      <c r="I95" s="308">
        <f>'BD-FF'!D107</f>
        <v>-30909.6584</v>
      </c>
      <c r="K95" s="969" t="s">
        <v>1615</v>
      </c>
      <c r="L95" s="960">
        <f>'BD-FF'!E107</f>
        <v>-15376.674480000001</v>
      </c>
      <c r="M95" s="960">
        <f>'BD-FF'!F107</f>
        <v>-15376.674480000001</v>
      </c>
    </row>
    <row r="96" spans="1:13" x14ac:dyDescent="0.35">
      <c r="A96" s="839">
        <f>ROW()</f>
        <v>96</v>
      </c>
      <c r="B96" s="849" t="s">
        <v>65</v>
      </c>
      <c r="C96" s="977" t="s">
        <v>1521</v>
      </c>
      <c r="D96" s="972">
        <f t="shared" si="6"/>
        <v>-80495.278680000003</v>
      </c>
      <c r="E96" s="972">
        <f t="shared" si="6"/>
        <v>-80495.278680000003</v>
      </c>
      <c r="G96" s="669" t="s">
        <v>1616</v>
      </c>
      <c r="H96" s="308">
        <f>'BD-FF'!C114</f>
        <v>-170.84268</v>
      </c>
      <c r="I96" s="308">
        <f>'BD-FF'!D114</f>
        <v>-170.84268</v>
      </c>
      <c r="K96" s="969" t="s">
        <v>1664</v>
      </c>
      <c r="L96" s="960">
        <f>'BD-FF'!E114</f>
        <v>-80324.436000000002</v>
      </c>
      <c r="M96" s="960">
        <f>'BD-FF'!F114</f>
        <v>-80324.436000000002</v>
      </c>
    </row>
    <row r="97" spans="1:16" x14ac:dyDescent="0.35">
      <c r="A97" s="839">
        <f>ROW()</f>
        <v>97</v>
      </c>
      <c r="B97" s="849" t="s">
        <v>65</v>
      </c>
      <c r="C97" s="977" t="s">
        <v>1521</v>
      </c>
      <c r="D97" s="972">
        <f t="shared" si="6"/>
        <v>-161.16</v>
      </c>
      <c r="E97" s="972">
        <f t="shared" si="6"/>
        <v>-161.16</v>
      </c>
      <c r="G97" s="669" t="s">
        <v>1585</v>
      </c>
      <c r="H97" s="308">
        <f>'BD-FF'!C121</f>
        <v>-161.16</v>
      </c>
      <c r="I97" s="308">
        <f>'BD-FF'!D121</f>
        <v>-161.16</v>
      </c>
      <c r="K97" s="969"/>
      <c r="L97" s="969"/>
      <c r="M97" s="969"/>
    </row>
    <row r="98" spans="1:16" x14ac:dyDescent="0.35">
      <c r="A98" s="839">
        <f>ROW()</f>
        <v>98</v>
      </c>
      <c r="C98" s="978"/>
      <c r="G98" s="978"/>
      <c r="H98" s="116"/>
      <c r="I98" s="979"/>
      <c r="K98" s="978"/>
      <c r="L98" s="969"/>
      <c r="M98" s="969"/>
    </row>
    <row r="99" spans="1:16" s="1262" customFormat="1" ht="15.5" x14ac:dyDescent="0.35">
      <c r="A99" s="839">
        <f>ROW()</f>
        <v>99</v>
      </c>
      <c r="B99" s="1258"/>
      <c r="C99" s="1259" t="s">
        <v>1522</v>
      </c>
      <c r="D99" s="1260">
        <f>SUM(D48:D98,D45)</f>
        <v>655328918.91790986</v>
      </c>
      <c r="E99" s="1260">
        <f>SUM(E48:E98,E45)</f>
        <v>689946971.3214494</v>
      </c>
      <c r="F99" s="1261"/>
      <c r="H99" s="1260">
        <f>SUM(H48:H98,H45)</f>
        <v>476518589.28002256</v>
      </c>
      <c r="I99" s="1260">
        <f>SUM(I48:I98,I45)</f>
        <v>505601719.45443267</v>
      </c>
      <c r="J99" s="1261"/>
      <c r="L99" s="1260">
        <f>SUM(L48:L98,L45)</f>
        <v>178810329.63788724</v>
      </c>
      <c r="M99" s="1260">
        <f>SUM(M48:M98,M45)</f>
        <v>184345251.86701667</v>
      </c>
      <c r="N99"/>
      <c r="O99"/>
      <c r="P99"/>
    </row>
    <row r="100" spans="1:16" x14ac:dyDescent="0.35">
      <c r="A100" s="839">
        <f>ROW()</f>
        <v>100</v>
      </c>
      <c r="C100" s="967" t="s">
        <v>1510</v>
      </c>
      <c r="D100" s="980"/>
      <c r="E100" s="980"/>
      <c r="F100" s="981"/>
      <c r="G100" s="982" t="s">
        <v>1523</v>
      </c>
      <c r="H100" s="983">
        <v>-476518589.28002256</v>
      </c>
      <c r="I100" s="983">
        <v>-505601719.45443267</v>
      </c>
      <c r="J100" s="982"/>
      <c r="K100" s="982" t="s">
        <v>1523</v>
      </c>
      <c r="L100" s="984">
        <v>-178707685.40673104</v>
      </c>
      <c r="M100" s="984">
        <v>-184228917.84860003</v>
      </c>
    </row>
    <row r="101" spans="1:16" s="840" customFormat="1" ht="18.5" x14ac:dyDescent="0.45">
      <c r="A101" s="839">
        <f>ROW()</f>
        <v>101</v>
      </c>
      <c r="C101" s="1263" t="s">
        <v>1281</v>
      </c>
      <c r="D101" s="1264"/>
      <c r="E101" s="1264"/>
      <c r="F101" s="1263"/>
      <c r="G101" s="1263"/>
      <c r="H101" s="1265"/>
      <c r="I101" s="1265"/>
      <c r="J101" s="1265"/>
      <c r="K101" s="1265"/>
      <c r="L101" s="1265"/>
      <c r="M101" s="1265"/>
      <c r="N101"/>
      <c r="O101"/>
      <c r="P101"/>
    </row>
    <row r="102" spans="1:16" s="840" customFormat="1" x14ac:dyDescent="0.35">
      <c r="A102" s="839">
        <f>ROW()</f>
        <v>102</v>
      </c>
      <c r="C102" s="849" t="s">
        <v>59</v>
      </c>
      <c r="D102" s="842"/>
      <c r="E102" s="842"/>
      <c r="F102" s="842"/>
      <c r="G102" s="842"/>
      <c r="H102" s="844">
        <f t="shared" ref="H102:I106" si="7">SUMIFS(H$32:H$98,$B$32:$B$98,$C102)</f>
        <v>99929274.275017902</v>
      </c>
      <c r="I102" s="844">
        <f t="shared" si="7"/>
        <v>109458109.73966144</v>
      </c>
      <c r="J102" s="844"/>
      <c r="K102" s="844"/>
      <c r="L102" s="1332">
        <f t="shared" ref="L102:M106" si="8">SUMIFS(L$32:L$98,$B$32:$B$98,$C102)</f>
        <v>8236810.4740378801</v>
      </c>
      <c r="M102" s="1332">
        <f t="shared" si="8"/>
        <v>8957908.7799719796</v>
      </c>
      <c r="N102"/>
      <c r="O102"/>
      <c r="P102"/>
    </row>
    <row r="103" spans="1:16" s="840" customFormat="1" x14ac:dyDescent="0.35">
      <c r="A103" s="839">
        <f>ROW()</f>
        <v>103</v>
      </c>
      <c r="C103" s="849" t="s">
        <v>60</v>
      </c>
      <c r="D103" s="842"/>
      <c r="E103" s="842"/>
      <c r="F103" s="842"/>
      <c r="G103" s="842"/>
      <c r="H103" s="844">
        <f t="shared" si="7"/>
        <v>31997753.480416637</v>
      </c>
      <c r="I103" s="844">
        <f t="shared" si="7"/>
        <v>36014329.210766099</v>
      </c>
      <c r="J103" s="844"/>
      <c r="K103" s="844"/>
      <c r="L103" s="1332">
        <f t="shared" si="8"/>
        <v>0</v>
      </c>
      <c r="M103" s="1332">
        <f t="shared" si="8"/>
        <v>0</v>
      </c>
      <c r="N103"/>
      <c r="O103"/>
      <c r="P103"/>
    </row>
    <row r="104" spans="1:16" s="840" customFormat="1" x14ac:dyDescent="0.35">
      <c r="A104" s="839">
        <f>ROW()</f>
        <v>104</v>
      </c>
      <c r="C104" s="849" t="s">
        <v>61</v>
      </c>
      <c r="D104" s="842"/>
      <c r="E104" s="842"/>
      <c r="F104" s="842"/>
      <c r="G104" s="842"/>
      <c r="H104" s="844">
        <f t="shared" si="7"/>
        <v>120348052.91960646</v>
      </c>
      <c r="I104" s="844">
        <f t="shared" si="7"/>
        <v>127065897.28909552</v>
      </c>
      <c r="J104" s="844"/>
      <c r="K104" s="844"/>
      <c r="L104" s="1332">
        <f t="shared" si="8"/>
        <v>88682038.861851916</v>
      </c>
      <c r="M104" s="1332">
        <f t="shared" si="8"/>
        <v>87640380.617635235</v>
      </c>
      <c r="N104"/>
      <c r="O104"/>
      <c r="P104"/>
    </row>
    <row r="105" spans="1:16" s="840" customFormat="1" x14ac:dyDescent="0.35">
      <c r="A105" s="839">
        <f>ROW()</f>
        <v>105</v>
      </c>
      <c r="C105" s="849" t="s">
        <v>62</v>
      </c>
      <c r="D105" s="842"/>
      <c r="E105" s="842"/>
      <c r="F105" s="842"/>
      <c r="G105" s="842"/>
      <c r="H105" s="844">
        <f t="shared" si="7"/>
        <v>42287096.854057655</v>
      </c>
      <c r="I105" s="844">
        <f t="shared" si="7"/>
        <v>41834891.49380473</v>
      </c>
      <c r="J105" s="844"/>
      <c r="K105" s="844"/>
      <c r="L105" s="1332">
        <f t="shared" si="8"/>
        <v>16327197.647432098</v>
      </c>
      <c r="M105" s="1332">
        <f t="shared" si="8"/>
        <v>14942384.084657842</v>
      </c>
      <c r="N105"/>
      <c r="O105"/>
      <c r="P105"/>
    </row>
    <row r="106" spans="1:16" s="840" customFormat="1" x14ac:dyDescent="0.35">
      <c r="A106" s="839">
        <f>ROW()</f>
        <v>106</v>
      </c>
      <c r="C106" s="849" t="s">
        <v>63</v>
      </c>
      <c r="D106" s="842"/>
      <c r="E106" s="842"/>
      <c r="F106" s="842"/>
      <c r="G106" s="842"/>
      <c r="H106" s="844">
        <f t="shared" si="7"/>
        <v>3685283.1755402656</v>
      </c>
      <c r="I106" s="844">
        <f t="shared" si="7"/>
        <v>3800817.8705213717</v>
      </c>
      <c r="J106" s="844"/>
      <c r="K106" s="844"/>
      <c r="L106" s="1332">
        <f t="shared" si="8"/>
        <v>1875042.5248052441</v>
      </c>
      <c r="M106" s="1332">
        <f t="shared" si="8"/>
        <v>1813761.7239987077</v>
      </c>
      <c r="N106"/>
      <c r="O106"/>
      <c r="P106"/>
    </row>
    <row r="107" spans="1:16" s="840" customFormat="1" x14ac:dyDescent="0.35">
      <c r="A107" s="839">
        <f>ROW()</f>
        <v>107</v>
      </c>
      <c r="C107" s="849" t="s">
        <v>64</v>
      </c>
      <c r="D107" s="842"/>
      <c r="E107" s="842"/>
      <c r="F107" s="842"/>
      <c r="G107" s="850"/>
      <c r="H107" s="850"/>
      <c r="I107" s="850"/>
      <c r="J107" s="850"/>
      <c r="K107" s="850"/>
      <c r="L107" s="1003"/>
      <c r="M107" s="1003"/>
      <c r="N107"/>
      <c r="O107"/>
      <c r="P107"/>
    </row>
    <row r="108" spans="1:16" s="840" customFormat="1" x14ac:dyDescent="0.35">
      <c r="A108" s="839">
        <f>ROW()</f>
        <v>108</v>
      </c>
      <c r="C108" s="849" t="s">
        <v>65</v>
      </c>
      <c r="D108" s="842"/>
      <c r="E108" s="842"/>
      <c r="F108" s="842"/>
      <c r="G108" s="842"/>
      <c r="H108" s="844">
        <f>SUMIFS(H$32:H$98,$B$32:$B$98,$C108)</f>
        <v>178271128.57538363</v>
      </c>
      <c r="I108" s="844">
        <f>SUMIFS(I$32:I$98,$B$32:$B$98,$C108)</f>
        <v>187427673.85058349</v>
      </c>
      <c r="J108" s="844"/>
      <c r="K108" s="844"/>
      <c r="L108" s="1332">
        <f>SUMIFS(L$32:L$98,$B$32:$B$98,$C108)</f>
        <v>63689240.129760124</v>
      </c>
      <c r="M108" s="1332">
        <f>SUMIFS(M$32:M$98,$B$32:$B$98,$C108)</f>
        <v>70990816.660752922</v>
      </c>
      <c r="N108"/>
      <c r="O108"/>
      <c r="P108"/>
    </row>
    <row r="109" spans="1:16" s="840" customFormat="1" x14ac:dyDescent="0.35">
      <c r="A109" s="839">
        <f>ROW()</f>
        <v>109</v>
      </c>
      <c r="C109" s="849" t="s">
        <v>66</v>
      </c>
      <c r="D109" s="842"/>
      <c r="E109" s="842"/>
      <c r="F109" s="842"/>
      <c r="G109" s="850"/>
      <c r="H109" s="850"/>
      <c r="I109" s="850"/>
      <c r="J109" s="850"/>
      <c r="K109" s="850"/>
      <c r="L109" s="1003"/>
      <c r="M109" s="1003"/>
      <c r="N109"/>
      <c r="O109"/>
      <c r="P109"/>
    </row>
    <row r="110" spans="1:16" s="840" customFormat="1" x14ac:dyDescent="0.35">
      <c r="A110" s="839">
        <f>ROW()</f>
        <v>110</v>
      </c>
      <c r="C110" s="849" t="s">
        <v>67</v>
      </c>
      <c r="D110" s="842"/>
      <c r="E110" s="842"/>
      <c r="F110" s="842"/>
      <c r="G110" s="850"/>
      <c r="H110" s="850"/>
      <c r="I110" s="850"/>
      <c r="J110" s="850"/>
      <c r="K110" s="850"/>
      <c r="L110" s="1003"/>
      <c r="M110" s="1003"/>
      <c r="N110"/>
      <c r="O110"/>
      <c r="P110"/>
    </row>
    <row r="111" spans="1:16" s="840" customFormat="1" x14ac:dyDescent="0.35">
      <c r="A111" s="839">
        <f>ROW()</f>
        <v>111</v>
      </c>
      <c r="C111" s="849" t="s">
        <v>68</v>
      </c>
      <c r="D111" s="842"/>
      <c r="E111" s="842"/>
      <c r="F111" s="842"/>
      <c r="G111" s="850"/>
      <c r="H111" s="850"/>
      <c r="I111" s="850"/>
      <c r="J111" s="850"/>
      <c r="K111" s="850"/>
      <c r="L111" s="1003"/>
      <c r="M111" s="1003"/>
      <c r="N111"/>
      <c r="O111"/>
      <c r="P111"/>
    </row>
    <row r="112" spans="1:16" s="840" customFormat="1" x14ac:dyDescent="0.35">
      <c r="A112" s="839">
        <f>ROW()</f>
        <v>112</v>
      </c>
      <c r="C112" s="849" t="s">
        <v>69</v>
      </c>
      <c r="D112" s="842"/>
      <c r="E112" s="842"/>
      <c r="F112" s="842"/>
      <c r="G112" s="850"/>
      <c r="H112" s="850"/>
      <c r="I112" s="850"/>
      <c r="J112" s="850"/>
      <c r="K112" s="850"/>
      <c r="L112" s="1003"/>
      <c r="M112" s="1003"/>
      <c r="N112"/>
      <c r="O112"/>
      <c r="P112"/>
    </row>
    <row r="113" spans="1:18" s="840" customFormat="1" x14ac:dyDescent="0.35">
      <c r="A113" s="839">
        <f>ROW()</f>
        <v>113</v>
      </c>
      <c r="C113" s="849" t="s">
        <v>70</v>
      </c>
      <c r="D113" s="842"/>
      <c r="E113" s="842"/>
      <c r="F113" s="842"/>
      <c r="G113" s="850"/>
      <c r="H113" s="850"/>
      <c r="I113" s="850"/>
      <c r="J113" s="850"/>
      <c r="K113" s="850"/>
      <c r="L113" s="1003"/>
      <c r="M113" s="1003"/>
      <c r="N113"/>
      <c r="O113"/>
      <c r="P113"/>
      <c r="Q113"/>
      <c r="R113"/>
    </row>
    <row r="114" spans="1:18" s="840" customFormat="1" x14ac:dyDescent="0.35">
      <c r="A114" s="839">
        <f>ROW()</f>
        <v>114</v>
      </c>
      <c r="C114" s="849" t="s">
        <v>71</v>
      </c>
      <c r="D114" s="842"/>
      <c r="E114" s="842"/>
      <c r="F114" s="842"/>
      <c r="G114" s="850"/>
      <c r="H114" s="850"/>
      <c r="I114" s="850"/>
      <c r="J114" s="850"/>
      <c r="K114" s="850"/>
      <c r="L114" s="1003"/>
      <c r="M114" s="1003"/>
      <c r="N114"/>
      <c r="O114"/>
      <c r="P114"/>
      <c r="Q114"/>
      <c r="R114"/>
    </row>
    <row r="115" spans="1:18" s="840" customFormat="1" x14ac:dyDescent="0.35">
      <c r="A115" s="839">
        <f>ROW()</f>
        <v>115</v>
      </c>
      <c r="C115" s="849" t="s">
        <v>72</v>
      </c>
      <c r="D115" s="842"/>
      <c r="E115" s="842"/>
      <c r="F115" s="842"/>
      <c r="G115" s="850"/>
      <c r="H115" s="850"/>
      <c r="I115" s="850"/>
      <c r="J115" s="850"/>
      <c r="K115" s="850"/>
      <c r="L115" s="1003"/>
      <c r="M115" s="1003"/>
      <c r="N115"/>
      <c r="O115"/>
      <c r="P115"/>
      <c r="Q115"/>
      <c r="R115"/>
    </row>
    <row r="116" spans="1:18" s="840" customFormat="1" x14ac:dyDescent="0.35">
      <c r="A116" s="839">
        <f>ROW()</f>
        <v>116</v>
      </c>
      <c r="C116" s="846" t="s">
        <v>1282</v>
      </c>
      <c r="D116" s="847"/>
      <c r="E116" s="847"/>
      <c r="F116" s="847"/>
      <c r="G116" s="847"/>
      <c r="H116" s="848">
        <f>SUM(H102:H115)</f>
        <v>476518589.28002262</v>
      </c>
      <c r="I116" s="848">
        <f>SUM(I102:I115)</f>
        <v>505601719.45443267</v>
      </c>
      <c r="J116" s="848"/>
      <c r="K116" s="848"/>
      <c r="L116" s="848">
        <f>SUM(L102:L115)</f>
        <v>178810329.63788727</v>
      </c>
      <c r="M116" s="848">
        <f>SUM(M102:M115)</f>
        <v>184345251.86701667</v>
      </c>
      <c r="N116"/>
      <c r="O116"/>
      <c r="P116"/>
      <c r="Q116"/>
      <c r="R116"/>
    </row>
    <row r="117" spans="1:18" x14ac:dyDescent="0.35">
      <c r="A117" s="839">
        <f>ROW()</f>
        <v>117</v>
      </c>
      <c r="C117" s="967" t="s">
        <v>1510</v>
      </c>
      <c r="D117" s="980"/>
      <c r="E117" s="980"/>
      <c r="F117" s="981"/>
      <c r="G117" s="982"/>
      <c r="H117" s="983">
        <f>H116-H99</f>
        <v>0</v>
      </c>
      <c r="I117" s="983">
        <f>I116-I99</f>
        <v>0</v>
      </c>
      <c r="J117" s="982"/>
      <c r="K117" s="982"/>
      <c r="L117" s="983">
        <f>L116-L99</f>
        <v>0</v>
      </c>
      <c r="M117" s="983">
        <f>M116-M99</f>
        <v>0</v>
      </c>
    </row>
    <row r="118" spans="1:18" s="840" customFormat="1" x14ac:dyDescent="0.35">
      <c r="A118" s="839">
        <f>ROW()</f>
        <v>118</v>
      </c>
      <c r="B118" s="843"/>
      <c r="C118" s="843"/>
      <c r="D118" s="843"/>
      <c r="E118" s="843"/>
      <c r="F118" s="843"/>
      <c r="G118" s="843"/>
      <c r="H118" s="843"/>
      <c r="I118" s="843"/>
      <c r="J118" s="843"/>
      <c r="K118" s="843"/>
      <c r="L118" s="843"/>
      <c r="M118" s="843"/>
      <c r="N118"/>
      <c r="O118"/>
      <c r="P118"/>
      <c r="Q118"/>
      <c r="R118"/>
    </row>
    <row r="119" spans="1:18" s="840" customFormat="1" x14ac:dyDescent="0.35">
      <c r="A119" s="839">
        <f>ROW()</f>
        <v>119</v>
      </c>
      <c r="C119" s="991" t="s">
        <v>1586</v>
      </c>
      <c r="D119" s="852"/>
      <c r="E119" s="852"/>
      <c r="F119" s="852"/>
      <c r="G119" s="852"/>
      <c r="H119" s="852"/>
      <c r="I119" s="852"/>
      <c r="J119" s="852"/>
      <c r="K119" s="852"/>
      <c r="L119" s="852"/>
      <c r="M119" s="852"/>
      <c r="N119"/>
      <c r="O119"/>
      <c r="P119"/>
      <c r="Q119"/>
      <c r="R119"/>
    </row>
    <row r="120" spans="1:18" s="840" customFormat="1" x14ac:dyDescent="0.35">
      <c r="A120" s="839">
        <f>ROW()</f>
        <v>120</v>
      </c>
      <c r="C120" s="853" t="s">
        <v>59</v>
      </c>
      <c r="D120" s="852"/>
      <c r="E120" s="852"/>
      <c r="F120" s="852"/>
      <c r="G120" s="852"/>
      <c r="H120" s="845">
        <v>98855826.062354967</v>
      </c>
      <c r="I120" s="845">
        <v>109458109.73966144</v>
      </c>
      <c r="J120" s="854"/>
      <c r="K120" s="854"/>
      <c r="L120" s="845">
        <f>SUM('Detailed Summary'!D214:Y214,'Detailed Summary'!AA214:AQ214)</f>
        <v>7877845.9807275729</v>
      </c>
      <c r="M120" s="845">
        <f>SUM('Detailed Summary'!D275:Y275,'Detailed Summary'!AA275:AQ275)</f>
        <v>8236951.7613686686</v>
      </c>
      <c r="N120"/>
      <c r="O120"/>
      <c r="P120"/>
      <c r="Q120"/>
      <c r="R120"/>
    </row>
    <row r="121" spans="1:18" s="840" customFormat="1" x14ac:dyDescent="0.35">
      <c r="A121" s="839">
        <f>ROW()</f>
        <v>121</v>
      </c>
      <c r="C121" s="853" t="s">
        <v>60</v>
      </c>
      <c r="D121" s="852"/>
      <c r="E121" s="852"/>
      <c r="F121" s="852"/>
      <c r="G121" s="852"/>
      <c r="H121" s="845">
        <v>27209603.539298877</v>
      </c>
      <c r="I121" s="845">
        <v>32881419.877292782</v>
      </c>
      <c r="J121" s="854"/>
      <c r="K121" s="854"/>
      <c r="L121" s="845">
        <f>SUM('Detailed Summary'!D215:Y215,'Detailed Summary'!AA215:AQ215)</f>
        <v>0</v>
      </c>
      <c r="M121" s="845">
        <f>SUM('Detailed Summary'!D276:Y276,'Detailed Summary'!AA276:AQ276)</f>
        <v>0</v>
      </c>
      <c r="N121"/>
      <c r="O121"/>
      <c r="P121"/>
      <c r="Q121"/>
      <c r="R121"/>
    </row>
    <row r="122" spans="1:18" s="840" customFormat="1" x14ac:dyDescent="0.35">
      <c r="A122" s="839">
        <f>ROW()</f>
        <v>122</v>
      </c>
      <c r="C122" s="853" t="s">
        <v>61</v>
      </c>
      <c r="D122" s="852"/>
      <c r="E122" s="852"/>
      <c r="F122" s="852"/>
      <c r="G122" s="852"/>
      <c r="H122" s="845">
        <v>105297442.30325419</v>
      </c>
      <c r="I122" s="845">
        <v>122852305.70949103</v>
      </c>
      <c r="J122" s="854"/>
      <c r="K122" s="854"/>
      <c r="L122" s="845">
        <f>SUM('Detailed Summary'!D216:Y216,'Detailed Summary'!AA216:AQ216)</f>
        <v>64502084.870188735</v>
      </c>
      <c r="M122" s="845">
        <f>SUM('Detailed Summary'!D277:Y277,'Detailed Summary'!AA277:AQ277)</f>
        <v>88682882.934236661</v>
      </c>
      <c r="N122"/>
      <c r="O122"/>
      <c r="P122"/>
      <c r="Q122"/>
      <c r="R122"/>
    </row>
    <row r="123" spans="1:18" s="840" customFormat="1" x14ac:dyDescent="0.35">
      <c r="A123" s="839">
        <f>ROW()</f>
        <v>123</v>
      </c>
      <c r="C123" s="853" t="s">
        <v>62</v>
      </c>
      <c r="D123" s="852"/>
      <c r="E123" s="852"/>
      <c r="F123" s="852"/>
      <c r="G123" s="852"/>
      <c r="H123" s="845">
        <v>52981949.165444508</v>
      </c>
      <c r="I123" s="845">
        <v>42464139.934470899</v>
      </c>
      <c r="J123" s="854"/>
      <c r="K123" s="854"/>
      <c r="L123" s="845">
        <f>SUM('Detailed Summary'!D217:Y217,'Detailed Summary'!AA217:AQ217)</f>
        <v>23494521.047018059</v>
      </c>
      <c r="M123" s="845">
        <f>SUM('Detailed Summary'!D278:Y278,'Detailed Summary'!AA278:AQ278)</f>
        <v>16325979.121700419</v>
      </c>
      <c r="N123"/>
      <c r="O123"/>
      <c r="P123"/>
      <c r="Q123"/>
      <c r="R123"/>
    </row>
    <row r="124" spans="1:18" s="840" customFormat="1" x14ac:dyDescent="0.35">
      <c r="A124" s="839">
        <f>ROW()</f>
        <v>124</v>
      </c>
      <c r="C124" s="853" t="s">
        <v>63</v>
      </c>
      <c r="D124" s="852"/>
      <c r="E124" s="852"/>
      <c r="F124" s="852"/>
      <c r="G124" s="852"/>
      <c r="H124" s="845">
        <v>4323259.2564826068</v>
      </c>
      <c r="I124" s="845">
        <v>3685383.294542959</v>
      </c>
      <c r="J124" s="854"/>
      <c r="K124" s="854"/>
      <c r="L124" s="845">
        <f>SUM('Detailed Summary'!D218:Y218,'Detailed Summary'!AA218:AQ218)</f>
        <v>2402223.3916017758</v>
      </c>
      <c r="M124" s="845">
        <f>SUM('Detailed Summary'!D279:Y279,'Detailed Summary'!AA279:AQ279)</f>
        <v>1875075.0525704168</v>
      </c>
      <c r="N124"/>
      <c r="O124"/>
      <c r="P124"/>
      <c r="Q124"/>
      <c r="R124"/>
    </row>
    <row r="125" spans="1:18" s="840" customFormat="1" x14ac:dyDescent="0.35">
      <c r="A125" s="839">
        <f>ROW()</f>
        <v>125</v>
      </c>
      <c r="C125" s="853" t="s">
        <v>64</v>
      </c>
      <c r="D125" s="852"/>
      <c r="E125" s="852"/>
      <c r="F125" s="852"/>
      <c r="G125" s="852"/>
      <c r="H125" s="845">
        <v>0</v>
      </c>
      <c r="I125" s="845">
        <v>0</v>
      </c>
      <c r="J125" s="854"/>
      <c r="K125" s="854"/>
      <c r="L125" s="845">
        <f>SUM('Detailed Summary'!D219:Y219,'Detailed Summary'!AA219:AQ219)</f>
        <v>0</v>
      </c>
      <c r="M125" s="845">
        <f>SUM('Detailed Summary'!D280:Y280,'Detailed Summary'!AA280:AQ280)</f>
        <v>0</v>
      </c>
      <c r="N125"/>
      <c r="O125"/>
      <c r="P125"/>
      <c r="Q125"/>
      <c r="R125"/>
    </row>
    <row r="126" spans="1:18" s="840" customFormat="1" x14ac:dyDescent="0.35">
      <c r="A126" s="839">
        <f>ROW()</f>
        <v>126</v>
      </c>
      <c r="C126" s="853" t="s">
        <v>65</v>
      </c>
      <c r="D126" s="852"/>
      <c r="E126" s="852"/>
      <c r="F126" s="852"/>
      <c r="G126" s="852"/>
      <c r="H126" s="845">
        <v>173420862.59137672</v>
      </c>
      <c r="I126" s="845">
        <v>192829315.27263859</v>
      </c>
      <c r="J126" s="854"/>
      <c r="K126" s="854"/>
      <c r="L126" s="845">
        <f>SUM('Detailed Summary'!D220:Y220,'Detailed Summary'!AA220:AQ220)</f>
        <v>74446084.362948582</v>
      </c>
      <c r="M126" s="845">
        <f>SUM('Detailed Summary'!D281:Y281,'Detailed Summary'!AA281:AQ281)</f>
        <v>63701989.972697251</v>
      </c>
      <c r="N126"/>
      <c r="O126"/>
      <c r="P126"/>
      <c r="Q126"/>
      <c r="R126"/>
    </row>
    <row r="127" spans="1:18" s="840" customFormat="1" x14ac:dyDescent="0.35">
      <c r="A127" s="839">
        <f>ROW()</f>
        <v>127</v>
      </c>
      <c r="C127" s="853" t="s">
        <v>66</v>
      </c>
      <c r="D127" s="852"/>
      <c r="E127" s="852"/>
      <c r="F127" s="852"/>
      <c r="G127" s="852"/>
      <c r="H127" s="855"/>
      <c r="I127" s="855"/>
      <c r="J127" s="855"/>
      <c r="K127" s="855"/>
      <c r="L127" s="855"/>
      <c r="M127" s="855"/>
      <c r="N127"/>
      <c r="O127"/>
      <c r="P127"/>
      <c r="Q127"/>
      <c r="R127"/>
    </row>
    <row r="128" spans="1:18" s="840" customFormat="1" x14ac:dyDescent="0.35">
      <c r="A128" s="839">
        <f>ROW()</f>
        <v>128</v>
      </c>
      <c r="C128" s="853" t="s">
        <v>67</v>
      </c>
      <c r="D128" s="852"/>
      <c r="E128" s="852"/>
      <c r="F128" s="852"/>
      <c r="G128" s="852"/>
      <c r="H128" s="855"/>
      <c r="I128" s="855"/>
      <c r="J128" s="855"/>
      <c r="K128" s="855"/>
      <c r="L128" s="855"/>
      <c r="M128" s="855"/>
      <c r="N128"/>
      <c r="O128"/>
      <c r="P128"/>
      <c r="Q128"/>
      <c r="R128"/>
    </row>
    <row r="129" spans="1:18" s="840" customFormat="1" x14ac:dyDescent="0.35">
      <c r="A129" s="839">
        <f>ROW()</f>
        <v>129</v>
      </c>
      <c r="C129" s="853" t="s">
        <v>68</v>
      </c>
      <c r="D129" s="852"/>
      <c r="E129" s="852"/>
      <c r="F129" s="852"/>
      <c r="G129" s="852"/>
      <c r="H129" s="855"/>
      <c r="I129" s="855"/>
      <c r="J129" s="855"/>
      <c r="K129" s="855"/>
      <c r="L129" s="855"/>
      <c r="M129" s="855"/>
      <c r="N129"/>
      <c r="O129"/>
      <c r="P129"/>
      <c r="Q129"/>
      <c r="R129"/>
    </row>
    <row r="130" spans="1:18" s="840" customFormat="1" x14ac:dyDescent="0.35">
      <c r="A130" s="839">
        <f>ROW()</f>
        <v>130</v>
      </c>
      <c r="C130" s="853" t="s">
        <v>69</v>
      </c>
      <c r="D130" s="852"/>
      <c r="E130" s="852"/>
      <c r="F130" s="852"/>
      <c r="G130" s="852"/>
      <c r="H130" s="855"/>
      <c r="I130" s="855"/>
      <c r="J130" s="855"/>
      <c r="K130" s="855"/>
      <c r="L130" s="855"/>
      <c r="M130" s="855"/>
      <c r="N130"/>
      <c r="O130"/>
      <c r="P130"/>
      <c r="Q130"/>
      <c r="R130"/>
    </row>
    <row r="131" spans="1:18" s="840" customFormat="1" x14ac:dyDescent="0.35">
      <c r="A131" s="839">
        <f>ROW()</f>
        <v>131</v>
      </c>
      <c r="C131" s="853" t="s">
        <v>70</v>
      </c>
      <c r="D131" s="852"/>
      <c r="E131" s="852"/>
      <c r="F131" s="852"/>
      <c r="G131" s="852"/>
      <c r="H131" s="855"/>
      <c r="I131" s="855"/>
      <c r="J131" s="855"/>
      <c r="K131" s="855"/>
      <c r="L131" s="855"/>
      <c r="M131" s="855"/>
      <c r="N131"/>
      <c r="O131"/>
      <c r="P131"/>
      <c r="Q131"/>
      <c r="R131"/>
    </row>
    <row r="132" spans="1:18" s="840" customFormat="1" x14ac:dyDescent="0.35">
      <c r="A132" s="839">
        <f>ROW()</f>
        <v>132</v>
      </c>
      <c r="C132" s="853" t="s">
        <v>71</v>
      </c>
      <c r="D132" s="852"/>
      <c r="E132" s="852"/>
      <c r="F132" s="852"/>
      <c r="G132" s="852"/>
      <c r="H132" s="855"/>
      <c r="I132" s="855"/>
      <c r="J132" s="855"/>
      <c r="K132" s="855"/>
      <c r="L132" s="855"/>
      <c r="M132" s="855"/>
      <c r="N132"/>
      <c r="O132"/>
      <c r="P132"/>
      <c r="Q132"/>
      <c r="R132"/>
    </row>
    <row r="133" spans="1:18" s="840" customFormat="1" x14ac:dyDescent="0.35">
      <c r="A133" s="839">
        <f>ROW()</f>
        <v>133</v>
      </c>
      <c r="C133" s="853" t="s">
        <v>72</v>
      </c>
      <c r="D133" s="852"/>
      <c r="E133" s="852"/>
      <c r="F133" s="852"/>
      <c r="G133" s="852"/>
      <c r="H133" s="855"/>
      <c r="I133" s="855"/>
      <c r="J133" s="855"/>
      <c r="K133" s="855"/>
      <c r="L133" s="855"/>
      <c r="M133" s="855"/>
      <c r="N133"/>
      <c r="O133"/>
      <c r="P133"/>
      <c r="Q133"/>
      <c r="R133"/>
    </row>
    <row r="134" spans="1:18" s="840" customFormat="1" x14ac:dyDescent="0.35">
      <c r="A134" s="839">
        <f>ROW()</f>
        <v>134</v>
      </c>
      <c r="C134" s="856" t="s">
        <v>1283</v>
      </c>
      <c r="D134" s="852"/>
      <c r="E134" s="852"/>
      <c r="F134" s="852"/>
      <c r="G134" s="852"/>
      <c r="H134" s="857">
        <f>SUM(H120:H133)</f>
        <v>462088942.91821188</v>
      </c>
      <c r="I134" s="857">
        <f>SUM(I120:I133)</f>
        <v>504170673.8280977</v>
      </c>
      <c r="J134" s="857"/>
      <c r="K134" s="857"/>
      <c r="L134" s="857">
        <f>SUM(L120:L133)</f>
        <v>172722759.65248471</v>
      </c>
      <c r="M134" s="857">
        <f>SUM(M120:M133)</f>
        <v>178822878.8425734</v>
      </c>
      <c r="N134"/>
      <c r="O134"/>
      <c r="P134"/>
      <c r="Q134"/>
      <c r="R134"/>
    </row>
    <row r="135" spans="1:18" s="840" customFormat="1" x14ac:dyDescent="0.35">
      <c r="A135" s="839">
        <f>ROW()</f>
        <v>135</v>
      </c>
      <c r="B135" s="843"/>
      <c r="C135" s="843"/>
      <c r="D135" s="843"/>
      <c r="E135" s="843"/>
      <c r="F135" s="843"/>
      <c r="G135" s="843"/>
      <c r="H135" s="843"/>
      <c r="I135" s="843"/>
      <c r="J135" s="843"/>
      <c r="K135" s="843"/>
      <c r="L135" s="843"/>
      <c r="M135" s="843"/>
      <c r="N135"/>
      <c r="O135"/>
      <c r="P135"/>
      <c r="Q135"/>
      <c r="R135"/>
    </row>
    <row r="136" spans="1:18" s="840" customFormat="1" x14ac:dyDescent="0.35">
      <c r="A136" s="839">
        <f>ROW()</f>
        <v>136</v>
      </c>
      <c r="C136" s="851" t="s">
        <v>1284</v>
      </c>
      <c r="D136" s="852"/>
      <c r="E136" s="852"/>
      <c r="F136" s="852"/>
      <c r="G136" s="852"/>
      <c r="H136" s="852"/>
      <c r="I136" s="852"/>
      <c r="J136" s="852"/>
      <c r="K136" s="852"/>
      <c r="L136" s="852"/>
      <c r="M136" s="852"/>
      <c r="N136"/>
      <c r="O136"/>
      <c r="P136"/>
      <c r="Q136"/>
      <c r="R136"/>
    </row>
    <row r="137" spans="1:18" s="840" customFormat="1" x14ac:dyDescent="0.35">
      <c r="A137" s="839">
        <f>ROW()</f>
        <v>137</v>
      </c>
      <c r="C137" s="853" t="s">
        <v>59</v>
      </c>
      <c r="D137" s="852"/>
      <c r="E137" s="852"/>
      <c r="F137" s="852"/>
      <c r="G137" s="852"/>
      <c r="H137" s="845">
        <v>99929274.275017902</v>
      </c>
      <c r="I137" s="845">
        <v>109458109.73966144</v>
      </c>
      <c r="J137" s="854"/>
      <c r="K137" s="854"/>
      <c r="L137" s="845">
        <f>'Summary DPK-7 '!$K30</f>
        <v>8236810.4740378801</v>
      </c>
      <c r="M137" s="845">
        <f>'Summary DPK-7 '!$M30</f>
        <v>8957908.7799719796</v>
      </c>
      <c r="N137"/>
      <c r="O137"/>
      <c r="P137"/>
      <c r="Q137"/>
      <c r="R137"/>
    </row>
    <row r="138" spans="1:18" s="840" customFormat="1" x14ac:dyDescent="0.35">
      <c r="A138" s="839">
        <f>ROW()</f>
        <v>138</v>
      </c>
      <c r="C138" s="853" t="s">
        <v>60</v>
      </c>
      <c r="D138" s="852"/>
      <c r="E138" s="852"/>
      <c r="F138" s="852"/>
      <c r="G138" s="852"/>
      <c r="H138" s="845">
        <v>32880915.318407286</v>
      </c>
      <c r="I138" s="845">
        <v>36979726.857718743</v>
      </c>
      <c r="J138" s="854"/>
      <c r="K138" s="854"/>
      <c r="L138" s="845">
        <f>'Summary DPK-7 '!$K31</f>
        <v>0</v>
      </c>
      <c r="M138" s="845">
        <f>'Summary DPK-7 '!$M31</f>
        <v>0</v>
      </c>
      <c r="N138"/>
      <c r="O138"/>
      <c r="P138"/>
      <c r="Q138"/>
      <c r="R138"/>
    </row>
    <row r="139" spans="1:18" s="840" customFormat="1" x14ac:dyDescent="0.35">
      <c r="A139" s="839">
        <f>ROW()</f>
        <v>139</v>
      </c>
      <c r="C139" s="853" t="s">
        <v>61</v>
      </c>
      <c r="D139" s="852"/>
      <c r="E139" s="852"/>
      <c r="F139" s="852"/>
      <c r="G139" s="852"/>
      <c r="H139" s="845">
        <v>122850764.9671983</v>
      </c>
      <c r="I139" s="845">
        <v>129801649.91994092</v>
      </c>
      <c r="J139" s="854"/>
      <c r="K139" s="854"/>
      <c r="L139" s="845">
        <f>'Summary DPK-7 '!$K32</f>
        <v>88682038.861851916</v>
      </c>
      <c r="M139" s="845">
        <f>'Summary DPK-7 '!$M32</f>
        <v>87640380.617635235</v>
      </c>
      <c r="N139"/>
      <c r="O139"/>
      <c r="P139"/>
      <c r="Q139"/>
      <c r="R139"/>
    </row>
    <row r="140" spans="1:18" s="840" customFormat="1" x14ac:dyDescent="0.35">
      <c r="A140" s="839">
        <f>ROW()</f>
        <v>140</v>
      </c>
      <c r="C140" s="853" t="s">
        <v>62</v>
      </c>
      <c r="D140" s="852"/>
      <c r="E140" s="852"/>
      <c r="F140" s="852"/>
      <c r="G140" s="852"/>
      <c r="H140" s="845">
        <v>42287096.854057655</v>
      </c>
      <c r="I140" s="845">
        <v>41834891.49380473</v>
      </c>
      <c r="J140" s="854"/>
      <c r="K140" s="854"/>
      <c r="L140" s="845">
        <f>'Summary DPK-7 '!$K33</f>
        <v>16327197.647432098</v>
      </c>
      <c r="M140" s="845">
        <f>'Summary DPK-7 '!$M33</f>
        <v>14942384.084657842</v>
      </c>
      <c r="N140"/>
      <c r="O140"/>
      <c r="P140"/>
      <c r="Q140"/>
      <c r="R140"/>
    </row>
    <row r="141" spans="1:18" s="840" customFormat="1" x14ac:dyDescent="0.35">
      <c r="A141" s="839">
        <f>ROW()</f>
        <v>141</v>
      </c>
      <c r="C141" s="853" t="s">
        <v>63</v>
      </c>
      <c r="D141" s="852"/>
      <c r="E141" s="852"/>
      <c r="F141" s="852"/>
      <c r="G141" s="852"/>
      <c r="H141" s="845">
        <v>3685283.1755402656</v>
      </c>
      <c r="I141" s="845">
        <v>3800817.8705213717</v>
      </c>
      <c r="J141" s="854"/>
      <c r="K141" s="854"/>
      <c r="L141" s="845">
        <f>'Summary DPK-7 '!$K34</f>
        <v>1875042.5248052441</v>
      </c>
      <c r="M141" s="845">
        <f>'Summary DPK-7 '!$M34</f>
        <v>1813761.7239987077</v>
      </c>
      <c r="N141"/>
      <c r="O141"/>
      <c r="P141"/>
      <c r="Q141"/>
      <c r="R141"/>
    </row>
    <row r="142" spans="1:18" s="840" customFormat="1" x14ac:dyDescent="0.35">
      <c r="A142" s="839">
        <f>ROW()</f>
        <v>142</v>
      </c>
      <c r="C142" s="853" t="s">
        <v>64</v>
      </c>
      <c r="D142" s="852"/>
      <c r="E142" s="852"/>
      <c r="F142" s="852"/>
      <c r="G142" s="852"/>
      <c r="H142" s="845">
        <v>0</v>
      </c>
      <c r="I142" s="845">
        <v>0</v>
      </c>
      <c r="J142" s="854"/>
      <c r="K142" s="854"/>
      <c r="L142" s="845">
        <f>'Summary DPK-7 '!$K35</f>
        <v>0</v>
      </c>
      <c r="M142" s="845">
        <f>'Summary DPK-7 '!$M35</f>
        <v>0</v>
      </c>
      <c r="N142"/>
      <c r="O142"/>
      <c r="P142"/>
      <c r="Q142"/>
      <c r="R142"/>
    </row>
    <row r="143" spans="1:18" s="840" customFormat="1" x14ac:dyDescent="0.35">
      <c r="A143" s="839">
        <f>ROW()</f>
        <v>143</v>
      </c>
      <c r="C143" s="853" t="s">
        <v>65</v>
      </c>
      <c r="D143" s="852"/>
      <c r="E143" s="852"/>
      <c r="F143" s="852"/>
      <c r="G143" s="852"/>
      <c r="H143" s="845">
        <v>192698818.62740031</v>
      </c>
      <c r="I143" s="845">
        <v>201665213.37016642</v>
      </c>
      <c r="J143" s="854"/>
      <c r="K143" s="854"/>
      <c r="L143" s="845">
        <f>'Summary DPK-7 '!$K36</f>
        <v>63689240.129760116</v>
      </c>
      <c r="M143" s="845">
        <f>'Summary DPK-7 '!$M36</f>
        <v>70990816.660752922</v>
      </c>
      <c r="N143"/>
      <c r="O143"/>
      <c r="P143"/>
      <c r="Q143"/>
      <c r="R143"/>
    </row>
    <row r="144" spans="1:18" s="840" customFormat="1" x14ac:dyDescent="0.35">
      <c r="A144" s="839">
        <f>ROW()</f>
        <v>144</v>
      </c>
      <c r="C144" s="853" t="s">
        <v>66</v>
      </c>
      <c r="D144" s="852"/>
      <c r="E144" s="852"/>
      <c r="F144" s="852"/>
      <c r="G144" s="852"/>
      <c r="H144" s="855"/>
      <c r="I144" s="855"/>
      <c r="J144" s="855"/>
      <c r="K144" s="855"/>
      <c r="L144" s="855"/>
      <c r="M144" s="855"/>
      <c r="N144"/>
      <c r="O144"/>
      <c r="P144"/>
      <c r="Q144"/>
      <c r="R144"/>
    </row>
    <row r="145" spans="1:18" s="840" customFormat="1" x14ac:dyDescent="0.35">
      <c r="A145" s="839">
        <f>ROW()</f>
        <v>145</v>
      </c>
      <c r="C145" s="853" t="s">
        <v>67</v>
      </c>
      <c r="D145" s="852"/>
      <c r="E145" s="852"/>
      <c r="F145" s="852"/>
      <c r="G145" s="852"/>
      <c r="H145" s="855"/>
      <c r="I145" s="855"/>
      <c r="J145" s="855"/>
      <c r="K145" s="855"/>
      <c r="L145" s="855"/>
      <c r="M145" s="855"/>
      <c r="N145"/>
      <c r="O145"/>
      <c r="P145"/>
      <c r="Q145"/>
      <c r="R145"/>
    </row>
    <row r="146" spans="1:18" s="840" customFormat="1" x14ac:dyDescent="0.35">
      <c r="A146" s="839">
        <f>ROW()</f>
        <v>146</v>
      </c>
      <c r="C146" s="853" t="s">
        <v>68</v>
      </c>
      <c r="D146" s="852"/>
      <c r="E146" s="852"/>
      <c r="F146" s="852"/>
      <c r="G146" s="852"/>
      <c r="H146" s="855"/>
      <c r="I146" s="855"/>
      <c r="J146" s="855"/>
      <c r="K146" s="855"/>
      <c r="L146" s="855"/>
      <c r="M146" s="855"/>
      <c r="N146"/>
      <c r="O146"/>
      <c r="P146"/>
      <c r="Q146"/>
      <c r="R146"/>
    </row>
    <row r="147" spans="1:18" s="840" customFormat="1" x14ac:dyDescent="0.35">
      <c r="A147" s="839">
        <f>ROW()</f>
        <v>147</v>
      </c>
      <c r="C147" s="853" t="s">
        <v>69</v>
      </c>
      <c r="D147" s="852"/>
      <c r="E147" s="852"/>
      <c r="F147" s="852"/>
      <c r="G147" s="852"/>
      <c r="H147" s="855"/>
      <c r="I147" s="855"/>
      <c r="J147" s="855"/>
      <c r="K147" s="855"/>
      <c r="L147" s="855"/>
      <c r="M147" s="855"/>
      <c r="N147"/>
      <c r="O147"/>
      <c r="P147"/>
      <c r="Q147"/>
      <c r="R147"/>
    </row>
    <row r="148" spans="1:18" s="840" customFormat="1" x14ac:dyDescent="0.35">
      <c r="A148" s="839">
        <f>ROW()</f>
        <v>148</v>
      </c>
      <c r="C148" s="853" t="s">
        <v>70</v>
      </c>
      <c r="D148" s="852"/>
      <c r="E148" s="852"/>
      <c r="F148" s="852"/>
      <c r="G148" s="852"/>
      <c r="H148" s="855"/>
      <c r="I148" s="855"/>
      <c r="J148" s="855"/>
      <c r="K148" s="855"/>
      <c r="L148" s="855"/>
      <c r="M148" s="855"/>
      <c r="N148"/>
      <c r="O148"/>
      <c r="P148"/>
      <c r="Q148"/>
      <c r="R148"/>
    </row>
    <row r="149" spans="1:18" s="840" customFormat="1" x14ac:dyDescent="0.35">
      <c r="A149" s="839">
        <f>ROW()</f>
        <v>149</v>
      </c>
      <c r="C149" s="853" t="s">
        <v>71</v>
      </c>
      <c r="D149" s="852"/>
      <c r="E149" s="852"/>
      <c r="F149" s="852"/>
      <c r="G149" s="852"/>
      <c r="H149" s="855"/>
      <c r="I149" s="855"/>
      <c r="J149" s="855"/>
      <c r="K149" s="855"/>
      <c r="L149" s="855"/>
      <c r="M149" s="855"/>
      <c r="N149"/>
      <c r="O149"/>
      <c r="P149"/>
      <c r="Q149"/>
      <c r="R149"/>
    </row>
    <row r="150" spans="1:18" s="840" customFormat="1" x14ac:dyDescent="0.35">
      <c r="A150" s="839">
        <f>ROW()</f>
        <v>150</v>
      </c>
      <c r="C150" s="853" t="s">
        <v>72</v>
      </c>
      <c r="D150" s="852"/>
      <c r="E150" s="852"/>
      <c r="F150" s="852"/>
      <c r="G150" s="852"/>
      <c r="H150" s="855"/>
      <c r="I150" s="855"/>
      <c r="J150" s="855"/>
      <c r="K150" s="855"/>
      <c r="L150" s="855"/>
      <c r="M150" s="855"/>
      <c r="N150"/>
      <c r="O150"/>
      <c r="P150"/>
      <c r="Q150"/>
      <c r="R150"/>
    </row>
    <row r="151" spans="1:18" s="840" customFormat="1" x14ac:dyDescent="0.35">
      <c r="A151" s="839">
        <f>ROW()</f>
        <v>151</v>
      </c>
      <c r="C151" s="856" t="s">
        <v>1283</v>
      </c>
      <c r="D151" s="852"/>
      <c r="E151" s="852"/>
      <c r="F151" s="852"/>
      <c r="G151" s="852"/>
      <c r="H151" s="857">
        <f>SUM(H137:H150)</f>
        <v>494332153.21762168</v>
      </c>
      <c r="I151" s="857">
        <f>SUM(I137:I150)</f>
        <v>523540409.25181365</v>
      </c>
      <c r="J151" s="857"/>
      <c r="K151" s="857"/>
      <c r="L151" s="857">
        <f>SUM(L137:L150)</f>
        <v>178810329.63788727</v>
      </c>
      <c r="M151" s="857">
        <f>SUM(M137:M150)</f>
        <v>184345251.86701667</v>
      </c>
      <c r="N151"/>
      <c r="O151"/>
      <c r="P151"/>
      <c r="Q151"/>
      <c r="R151"/>
    </row>
    <row r="152" spans="1:18" s="1253" customFormat="1" ht="18.5" x14ac:dyDescent="0.45">
      <c r="A152" s="1250">
        <f>ROW()</f>
        <v>152</v>
      </c>
      <c r="B152" s="1251"/>
      <c r="C152" s="1251"/>
      <c r="D152" s="1251"/>
      <c r="E152" s="1251"/>
      <c r="F152" s="1251"/>
      <c r="G152" s="1252" t="s">
        <v>1529</v>
      </c>
      <c r="H152" s="1252">
        <f>H151-H116</f>
        <v>17813563.937599063</v>
      </c>
      <c r="I152" s="1252">
        <f>I151-I116</f>
        <v>17938689.797380984</v>
      </c>
      <c r="J152" s="1252"/>
      <c r="K152" s="1252"/>
      <c r="L152" s="1252">
        <f>L151-L116</f>
        <v>0</v>
      </c>
      <c r="M152" s="1252">
        <f>M151-M116</f>
        <v>0</v>
      </c>
      <c r="N152" s="268"/>
      <c r="O152" s="268"/>
      <c r="P152" s="268"/>
      <c r="Q152" s="268"/>
      <c r="R152" s="268"/>
    </row>
    <row r="153" spans="1:18" s="840" customFormat="1" x14ac:dyDescent="0.35">
      <c r="A153" s="839">
        <f>ROW()</f>
        <v>153</v>
      </c>
      <c r="C153" s="858" t="s">
        <v>1285</v>
      </c>
      <c r="N153"/>
      <c r="O153"/>
      <c r="P153"/>
      <c r="Q153"/>
      <c r="R153"/>
    </row>
    <row r="154" spans="1:18" s="841" customFormat="1" x14ac:dyDescent="0.35">
      <c r="A154" s="839">
        <f>ROW()</f>
        <v>154</v>
      </c>
      <c r="C154" s="859" t="s">
        <v>59</v>
      </c>
      <c r="H154" s="860">
        <f>H102-H120</f>
        <v>1073448.2126629353</v>
      </c>
      <c r="I154" s="860">
        <f>I102-I120</f>
        <v>0</v>
      </c>
      <c r="J154" s="860"/>
      <c r="K154" s="860"/>
      <c r="L154" s="1333">
        <f t="shared" ref="L154:M160" si="9">L102-L120</f>
        <v>358964.49331030715</v>
      </c>
      <c r="M154" s="1333">
        <f t="shared" si="9"/>
        <v>720957.01860331092</v>
      </c>
      <c r="N154"/>
      <c r="O154"/>
      <c r="P154"/>
      <c r="Q154"/>
      <c r="R154"/>
    </row>
    <row r="155" spans="1:18" s="841" customFormat="1" x14ac:dyDescent="0.35">
      <c r="A155" s="839">
        <f>ROW()</f>
        <v>155</v>
      </c>
      <c r="C155" s="859" t="s">
        <v>60</v>
      </c>
      <c r="H155" s="860">
        <f t="shared" ref="H155:I160" si="10">H103-H121</f>
        <v>4788149.9411177598</v>
      </c>
      <c r="I155" s="860">
        <f t="shared" si="10"/>
        <v>3132909.3334733173</v>
      </c>
      <c r="J155" s="860"/>
      <c r="K155" s="860"/>
      <c r="L155" s="1333">
        <f t="shared" si="9"/>
        <v>0</v>
      </c>
      <c r="M155" s="1333">
        <f t="shared" si="9"/>
        <v>0</v>
      </c>
      <c r="N155"/>
      <c r="O155"/>
      <c r="P155"/>
      <c r="Q155"/>
      <c r="R155"/>
    </row>
    <row r="156" spans="1:18" s="841" customFormat="1" x14ac:dyDescent="0.35">
      <c r="A156" s="839">
        <f>ROW()</f>
        <v>156</v>
      </c>
      <c r="C156" s="859" t="s">
        <v>61</v>
      </c>
      <c r="H156" s="860">
        <f t="shared" si="10"/>
        <v>15050610.616352275</v>
      </c>
      <c r="I156" s="860">
        <f t="shared" si="10"/>
        <v>4213591.5796044916</v>
      </c>
      <c r="J156" s="860"/>
      <c r="K156" s="860"/>
      <c r="L156" s="1333">
        <f t="shared" si="9"/>
        <v>24179953.99166318</v>
      </c>
      <c r="M156" s="1333">
        <f t="shared" si="9"/>
        <v>-1042502.3166014254</v>
      </c>
      <c r="N156"/>
      <c r="O156"/>
      <c r="P156"/>
      <c r="Q156"/>
      <c r="R156"/>
    </row>
    <row r="157" spans="1:18" s="841" customFormat="1" x14ac:dyDescent="0.35">
      <c r="A157" s="839">
        <f>ROW()</f>
        <v>157</v>
      </c>
      <c r="C157" s="859" t="s">
        <v>62</v>
      </c>
      <c r="H157" s="860">
        <f t="shared" si="10"/>
        <v>-10694852.311386853</v>
      </c>
      <c r="I157" s="860">
        <f t="shared" si="10"/>
        <v>-629248.44066616893</v>
      </c>
      <c r="J157" s="860"/>
      <c r="K157" s="860"/>
      <c r="L157" s="1333">
        <f t="shared" si="9"/>
        <v>-7167323.3995859604</v>
      </c>
      <c r="M157" s="1333">
        <f t="shared" si="9"/>
        <v>-1383595.0370425768</v>
      </c>
      <c r="N157"/>
      <c r="O157"/>
      <c r="P157"/>
      <c r="Q157"/>
      <c r="R157"/>
    </row>
    <row r="158" spans="1:18" s="841" customFormat="1" x14ac:dyDescent="0.35">
      <c r="A158" s="839">
        <f>ROW()</f>
        <v>158</v>
      </c>
      <c r="C158" s="859" t="s">
        <v>63</v>
      </c>
      <c r="H158" s="860">
        <f t="shared" si="10"/>
        <v>-637976.08094234113</v>
      </c>
      <c r="I158" s="860">
        <f t="shared" si="10"/>
        <v>115434.57597841276</v>
      </c>
      <c r="J158" s="860"/>
      <c r="K158" s="860"/>
      <c r="L158" s="1333">
        <f t="shared" si="9"/>
        <v>-527180.86679653171</v>
      </c>
      <c r="M158" s="1333">
        <f t="shared" si="9"/>
        <v>-61313.328571709106</v>
      </c>
      <c r="N158"/>
      <c r="O158"/>
      <c r="P158"/>
      <c r="Q158"/>
      <c r="R158"/>
    </row>
    <row r="159" spans="1:18" s="841" customFormat="1" x14ac:dyDescent="0.35">
      <c r="A159" s="839">
        <f>ROW()</f>
        <v>159</v>
      </c>
      <c r="C159" s="859" t="s">
        <v>64</v>
      </c>
      <c r="H159" s="860">
        <f t="shared" si="10"/>
        <v>0</v>
      </c>
      <c r="I159" s="860">
        <f t="shared" si="10"/>
        <v>0</v>
      </c>
      <c r="J159" s="860"/>
      <c r="K159" s="860"/>
      <c r="L159" s="1333">
        <f t="shared" si="9"/>
        <v>0</v>
      </c>
      <c r="M159" s="1333">
        <f t="shared" si="9"/>
        <v>0</v>
      </c>
      <c r="N159"/>
      <c r="O159"/>
      <c r="P159"/>
      <c r="Q159"/>
      <c r="R159"/>
    </row>
    <row r="160" spans="1:18" s="841" customFormat="1" x14ac:dyDescent="0.35">
      <c r="A160" s="839">
        <f>ROW()</f>
        <v>160</v>
      </c>
      <c r="C160" s="859" t="s">
        <v>65</v>
      </c>
      <c r="H160" s="860">
        <f t="shared" si="10"/>
        <v>4850265.9840069115</v>
      </c>
      <c r="I160" s="860">
        <f t="shared" si="10"/>
        <v>-5401641.4220550954</v>
      </c>
      <c r="J160" s="860"/>
      <c r="K160" s="860"/>
      <c r="L160" s="1333">
        <f t="shared" si="9"/>
        <v>-10756844.233188458</v>
      </c>
      <c r="M160" s="1333">
        <f t="shared" si="9"/>
        <v>7288826.6880556718</v>
      </c>
      <c r="N160"/>
      <c r="O160"/>
      <c r="P160"/>
      <c r="Q160"/>
      <c r="R160"/>
    </row>
    <row r="161" spans="1:17" s="841" customFormat="1" x14ac:dyDescent="0.35">
      <c r="A161" s="839">
        <f>ROW()</f>
        <v>161</v>
      </c>
      <c r="C161" s="859" t="s">
        <v>66</v>
      </c>
      <c r="H161" s="855"/>
      <c r="I161" s="855"/>
      <c r="J161" s="855"/>
      <c r="K161" s="855"/>
      <c r="L161" s="855"/>
      <c r="M161" s="855"/>
      <c r="N161"/>
      <c r="O161"/>
      <c r="P161"/>
      <c r="Q161"/>
    </row>
    <row r="162" spans="1:17" s="841" customFormat="1" x14ac:dyDescent="0.35">
      <c r="A162" s="839">
        <f>ROW()</f>
        <v>162</v>
      </c>
      <c r="C162" s="859" t="s">
        <v>67</v>
      </c>
      <c r="H162" s="855"/>
      <c r="I162" s="855"/>
      <c r="J162" s="855"/>
      <c r="K162" s="855"/>
      <c r="L162" s="855"/>
      <c r="M162" s="855"/>
      <c r="N162"/>
      <c r="O162"/>
      <c r="P162"/>
      <c r="Q162"/>
    </row>
    <row r="163" spans="1:17" s="841" customFormat="1" x14ac:dyDescent="0.35">
      <c r="A163" s="839">
        <f>ROW()</f>
        <v>163</v>
      </c>
      <c r="C163" s="859" t="s">
        <v>68</v>
      </c>
      <c r="H163" s="855"/>
      <c r="I163" s="855"/>
      <c r="J163" s="855"/>
      <c r="K163" s="855"/>
      <c r="L163" s="855"/>
      <c r="M163" s="855"/>
      <c r="N163"/>
      <c r="O163"/>
      <c r="P163"/>
      <c r="Q163"/>
    </row>
    <row r="164" spans="1:17" s="841" customFormat="1" x14ac:dyDescent="0.35">
      <c r="A164" s="839">
        <f>ROW()</f>
        <v>164</v>
      </c>
      <c r="C164" s="859" t="s">
        <v>69</v>
      </c>
      <c r="H164" s="855"/>
      <c r="I164" s="855"/>
      <c r="J164" s="855"/>
      <c r="K164" s="855"/>
      <c r="L164" s="855"/>
      <c r="M164" s="855"/>
      <c r="N164"/>
      <c r="O164"/>
      <c r="P164"/>
      <c r="Q164"/>
    </row>
    <row r="165" spans="1:17" s="841" customFormat="1" x14ac:dyDescent="0.35">
      <c r="A165" s="839">
        <f>ROW()</f>
        <v>165</v>
      </c>
      <c r="C165" s="859" t="s">
        <v>70</v>
      </c>
      <c r="H165" s="855"/>
      <c r="I165" s="855"/>
      <c r="J165" s="855"/>
      <c r="K165" s="855"/>
      <c r="L165" s="855"/>
      <c r="M165" s="855"/>
      <c r="N165"/>
      <c r="O165"/>
      <c r="P165"/>
      <c r="Q165"/>
    </row>
    <row r="166" spans="1:17" s="841" customFormat="1" x14ac:dyDescent="0.35">
      <c r="A166" s="839">
        <f>ROW()</f>
        <v>166</v>
      </c>
      <c r="C166" s="859" t="s">
        <v>71</v>
      </c>
      <c r="H166" s="855"/>
      <c r="I166" s="855"/>
      <c r="J166" s="855"/>
      <c r="K166" s="855"/>
      <c r="L166" s="855"/>
      <c r="M166" s="855"/>
      <c r="N166"/>
      <c r="O166"/>
      <c r="P166"/>
      <c r="Q166"/>
    </row>
    <row r="167" spans="1:17" s="841" customFormat="1" x14ac:dyDescent="0.35">
      <c r="A167" s="839">
        <f>ROW()</f>
        <v>167</v>
      </c>
      <c r="C167" s="859" t="s">
        <v>72</v>
      </c>
      <c r="H167" s="855"/>
      <c r="I167" s="855"/>
      <c r="J167" s="855"/>
      <c r="K167" s="855"/>
      <c r="L167" s="855"/>
      <c r="M167" s="855"/>
      <c r="N167"/>
      <c r="O167"/>
      <c r="P167"/>
      <c r="Q167"/>
    </row>
    <row r="168" spans="1:17" s="841" customFormat="1" x14ac:dyDescent="0.35">
      <c r="A168" s="839">
        <f>ROW()</f>
        <v>168</v>
      </c>
      <c r="C168" s="856" t="s">
        <v>1283</v>
      </c>
      <c r="D168" s="852"/>
      <c r="E168" s="852"/>
      <c r="F168" s="852"/>
      <c r="G168" s="852"/>
      <c r="H168" s="861">
        <f>SUM(H154:H167)</f>
        <v>14429646.361810688</v>
      </c>
      <c r="I168" s="861">
        <f>SUM(I154:I167)</f>
        <v>1431045.6263349578</v>
      </c>
      <c r="J168" s="861"/>
      <c r="K168" s="861"/>
      <c r="L168" s="861">
        <f>SUM(L154:L167)</f>
        <v>6087569.9854025394</v>
      </c>
      <c r="M168" s="861">
        <f>SUM(M154:M167)</f>
        <v>5522373.0244432716</v>
      </c>
      <c r="N168"/>
      <c r="O168"/>
      <c r="P168"/>
      <c r="Q168"/>
    </row>
    <row r="169" spans="1:17" s="840" customFormat="1" x14ac:dyDescent="0.35">
      <c r="A169" s="839">
        <f>ROW()</f>
        <v>169</v>
      </c>
      <c r="N169"/>
      <c r="O169"/>
      <c r="P169"/>
      <c r="Q169"/>
    </row>
    <row r="170" spans="1:17" s="840" customFormat="1" x14ac:dyDescent="0.35">
      <c r="A170" s="839">
        <f>ROW()</f>
        <v>170</v>
      </c>
      <c r="N170"/>
      <c r="O170"/>
      <c r="P170"/>
      <c r="Q170"/>
    </row>
    <row r="171" spans="1:17" s="1253" customFormat="1" x14ac:dyDescent="0.35">
      <c r="A171" s="1254">
        <f>ROW()</f>
        <v>171</v>
      </c>
      <c r="N171" s="268"/>
      <c r="O171" s="268"/>
      <c r="P171" s="268"/>
      <c r="Q171" s="268"/>
    </row>
    <row r="172" spans="1:17" s="840" customFormat="1" x14ac:dyDescent="0.35">
      <c r="A172" s="839">
        <f>ROW()</f>
        <v>172</v>
      </c>
      <c r="N172"/>
      <c r="O172"/>
      <c r="P172"/>
      <c r="Q172"/>
    </row>
    <row r="173" spans="1:17" s="840" customFormat="1" x14ac:dyDescent="0.35">
      <c r="A173" s="839">
        <f>ROW()</f>
        <v>173</v>
      </c>
      <c r="N173"/>
      <c r="O173"/>
      <c r="P173"/>
      <c r="Q173"/>
    </row>
    <row r="174" spans="1:17" s="840" customFormat="1" x14ac:dyDescent="0.35">
      <c r="A174" s="839">
        <f>ROW()</f>
        <v>174</v>
      </c>
      <c r="N174"/>
      <c r="O174"/>
      <c r="P174"/>
      <c r="Q174"/>
    </row>
    <row r="175" spans="1:17" s="840" customFormat="1" x14ac:dyDescent="0.35">
      <c r="A175" s="839">
        <f>ROW()</f>
        <v>175</v>
      </c>
      <c r="N175"/>
      <c r="O175"/>
      <c r="P175"/>
      <c r="Q175"/>
    </row>
    <row r="176" spans="1:17" s="840" customFormat="1" x14ac:dyDescent="0.35">
      <c r="A176" s="839">
        <f>ROW()</f>
        <v>176</v>
      </c>
      <c r="N176"/>
      <c r="O176"/>
      <c r="P176"/>
      <c r="Q176"/>
    </row>
    <row r="177" spans="1:17" s="840" customFormat="1" x14ac:dyDescent="0.35">
      <c r="A177" s="839">
        <f>ROW()</f>
        <v>177</v>
      </c>
      <c r="N177"/>
      <c r="O177"/>
      <c r="P177"/>
      <c r="Q177"/>
    </row>
    <row r="178" spans="1:17" s="840" customFormat="1" x14ac:dyDescent="0.35">
      <c r="A178" s="839">
        <f>ROW()</f>
        <v>178</v>
      </c>
      <c r="N178"/>
      <c r="O178"/>
      <c r="P178"/>
      <c r="Q178"/>
    </row>
    <row r="179" spans="1:17" x14ac:dyDescent="0.35">
      <c r="A179" s="839">
        <f>ROW()</f>
        <v>179</v>
      </c>
      <c r="C179" s="840"/>
      <c r="D179" s="840"/>
      <c r="E179" s="840"/>
      <c r="F179" s="840"/>
      <c r="G179" s="840"/>
      <c r="H179" s="840"/>
      <c r="I179" s="840"/>
      <c r="J179" s="840"/>
      <c r="K179" s="840"/>
      <c r="L179" s="840"/>
      <c r="M179" s="840"/>
    </row>
    <row r="180" spans="1:17" x14ac:dyDescent="0.35">
      <c r="A180" s="839">
        <f>ROW()</f>
        <v>180</v>
      </c>
      <c r="C180" s="840"/>
      <c r="D180" s="840"/>
      <c r="E180" s="840"/>
      <c r="F180" s="840"/>
      <c r="G180" s="840"/>
      <c r="H180" s="840"/>
      <c r="I180" s="840"/>
      <c r="J180" s="840"/>
      <c r="K180" s="840"/>
      <c r="L180" s="840"/>
      <c r="M180" s="840"/>
    </row>
    <row r="181" spans="1:17" x14ac:dyDescent="0.35">
      <c r="A181" s="839">
        <f>ROW()</f>
        <v>181</v>
      </c>
      <c r="C181" s="840"/>
      <c r="D181" s="840"/>
      <c r="E181" s="840"/>
      <c r="F181" s="840"/>
      <c r="G181" s="840"/>
      <c r="H181" s="840"/>
      <c r="I181" s="840"/>
      <c r="J181" s="840"/>
      <c r="K181" s="840"/>
      <c r="L181" s="840"/>
      <c r="M181" s="840"/>
    </row>
    <row r="182" spans="1:17" x14ac:dyDescent="0.35">
      <c r="A182" s="839">
        <f>ROW()</f>
        <v>182</v>
      </c>
      <c r="C182" s="985"/>
      <c r="D182" s="236"/>
      <c r="E182" s="236"/>
      <c r="F182" s="236"/>
      <c r="I182" s="236"/>
      <c r="J182" s="236"/>
      <c r="L182" s="236"/>
      <c r="M182" s="236"/>
    </row>
    <row r="183" spans="1:17" x14ac:dyDescent="0.35">
      <c r="A183" s="839">
        <f>ROW()</f>
        <v>183</v>
      </c>
      <c r="C183" s="985"/>
      <c r="D183" s="236"/>
      <c r="E183" s="236"/>
      <c r="F183" s="236"/>
      <c r="I183" s="236"/>
      <c r="J183" s="236"/>
      <c r="L183" s="236"/>
      <c r="M183" s="236"/>
    </row>
    <row r="184" spans="1:17" x14ac:dyDescent="0.35">
      <c r="A184" s="839">
        <f>ROW()</f>
        <v>184</v>
      </c>
      <c r="C184" s="985"/>
      <c r="D184" s="236"/>
      <c r="E184" s="236"/>
      <c r="F184" s="236"/>
      <c r="I184" s="236"/>
      <c r="J184" s="236"/>
      <c r="L184" s="236"/>
      <c r="M184" s="236"/>
    </row>
    <row r="185" spans="1:17" ht="15.5" x14ac:dyDescent="0.35">
      <c r="A185" s="839">
        <f>ROW()</f>
        <v>185</v>
      </c>
      <c r="C185" s="986"/>
    </row>
    <row r="186" spans="1:17" ht="15.5" x14ac:dyDescent="0.35">
      <c r="A186" s="839">
        <f>ROW()</f>
        <v>186</v>
      </c>
      <c r="C186" s="986"/>
      <c r="D186" s="986"/>
      <c r="E186" s="986"/>
    </row>
    <row r="187" spans="1:17" x14ac:dyDescent="0.35">
      <c r="A187" s="839">
        <f>ROW()</f>
        <v>187</v>
      </c>
    </row>
    <row r="188" spans="1:17" x14ac:dyDescent="0.35">
      <c r="A188" s="839">
        <f>ROW()</f>
        <v>188</v>
      </c>
    </row>
    <row r="189" spans="1:17" x14ac:dyDescent="0.35">
      <c r="A189" s="839">
        <f>ROW()</f>
        <v>189</v>
      </c>
    </row>
    <row r="190" spans="1:17" x14ac:dyDescent="0.35">
      <c r="A190" s="839">
        <f>ROW()</f>
        <v>190</v>
      </c>
    </row>
    <row r="191" spans="1:17" x14ac:dyDescent="0.35">
      <c r="A191" s="839">
        <f>ROW()</f>
        <v>191</v>
      </c>
    </row>
    <row r="192" spans="1:17" x14ac:dyDescent="0.35">
      <c r="A192" s="839">
        <f>ROW()</f>
        <v>192</v>
      </c>
    </row>
    <row r="193" spans="1:1" x14ac:dyDescent="0.35">
      <c r="A193" s="839">
        <f>ROW()</f>
        <v>193</v>
      </c>
    </row>
    <row r="194" spans="1:1" x14ac:dyDescent="0.35">
      <c r="A194" s="839">
        <f>ROW()</f>
        <v>194</v>
      </c>
    </row>
    <row r="195" spans="1:1" x14ac:dyDescent="0.35">
      <c r="A195" s="839">
        <f>ROW()</f>
        <v>195</v>
      </c>
    </row>
    <row r="196" spans="1:1" x14ac:dyDescent="0.35">
      <c r="A196" s="839">
        <f>ROW()</f>
        <v>196</v>
      </c>
    </row>
    <row r="197" spans="1:1" x14ac:dyDescent="0.35">
      <c r="A197" s="839">
        <f>ROW()</f>
        <v>197</v>
      </c>
    </row>
    <row r="198" spans="1:1" x14ac:dyDescent="0.35">
      <c r="A198" s="839">
        <f>ROW()</f>
        <v>198</v>
      </c>
    </row>
    <row r="199" spans="1:1" x14ac:dyDescent="0.35">
      <c r="A199" s="839">
        <f>ROW()</f>
        <v>199</v>
      </c>
    </row>
    <row r="200" spans="1:1" x14ac:dyDescent="0.35">
      <c r="A200" s="839">
        <f>ROW()</f>
        <v>200</v>
      </c>
    </row>
    <row r="201" spans="1:1" x14ac:dyDescent="0.35">
      <c r="A201" s="839">
        <f>ROW()</f>
        <v>201</v>
      </c>
    </row>
    <row r="202" spans="1:1" x14ac:dyDescent="0.35">
      <c r="A202" s="839">
        <f>ROW()</f>
        <v>202</v>
      </c>
    </row>
    <row r="203" spans="1:1" x14ac:dyDescent="0.35">
      <c r="A203" s="839">
        <f>ROW()</f>
        <v>203</v>
      </c>
    </row>
    <row r="204" spans="1:1" x14ac:dyDescent="0.35">
      <c r="A204" s="839">
        <f>ROW()</f>
        <v>204</v>
      </c>
    </row>
    <row r="205" spans="1:1" x14ac:dyDescent="0.35">
      <c r="A205" s="839">
        <f>ROW()</f>
        <v>205</v>
      </c>
    </row>
    <row r="206" spans="1:1" x14ac:dyDescent="0.35">
      <c r="A206" s="839">
        <f>ROW()</f>
        <v>206</v>
      </c>
    </row>
    <row r="207" spans="1:1" x14ac:dyDescent="0.35">
      <c r="A207" s="839">
        <f>ROW()</f>
        <v>207</v>
      </c>
    </row>
    <row r="208" spans="1:1" x14ac:dyDescent="0.35">
      <c r="A208" s="839">
        <f>ROW()</f>
        <v>208</v>
      </c>
    </row>
    <row r="209" spans="1:1" x14ac:dyDescent="0.35">
      <c r="A209" s="839">
        <f>ROW()</f>
        <v>209</v>
      </c>
    </row>
    <row r="210" spans="1:1" x14ac:dyDescent="0.35">
      <c r="A210" s="839">
        <f>ROW()</f>
        <v>210</v>
      </c>
    </row>
    <row r="211" spans="1:1" x14ac:dyDescent="0.35">
      <c r="A211" s="839">
        <f>ROW()</f>
        <v>211</v>
      </c>
    </row>
    <row r="212" spans="1:1" x14ac:dyDescent="0.35">
      <c r="A212" s="839">
        <f>ROW()</f>
        <v>212</v>
      </c>
    </row>
    <row r="213" spans="1:1" x14ac:dyDescent="0.35">
      <c r="A213" s="839">
        <f>ROW()</f>
        <v>213</v>
      </c>
    </row>
    <row r="214" spans="1:1" x14ac:dyDescent="0.35">
      <c r="A214" s="839">
        <f>ROW()</f>
        <v>214</v>
      </c>
    </row>
    <row r="215" spans="1:1" x14ac:dyDescent="0.35">
      <c r="A215" s="839">
        <f>ROW()</f>
        <v>215</v>
      </c>
    </row>
    <row r="216" spans="1:1" x14ac:dyDescent="0.35">
      <c r="A216" s="839">
        <f>ROW()</f>
        <v>216</v>
      </c>
    </row>
    <row r="217" spans="1:1" x14ac:dyDescent="0.35">
      <c r="A217" s="839">
        <f>ROW()</f>
        <v>217</v>
      </c>
    </row>
    <row r="218" spans="1:1" x14ac:dyDescent="0.35">
      <c r="A218" s="839">
        <f>ROW()</f>
        <v>218</v>
      </c>
    </row>
    <row r="219" spans="1:1" x14ac:dyDescent="0.35">
      <c r="A219" s="839">
        <f>ROW()</f>
        <v>219</v>
      </c>
    </row>
    <row r="220" spans="1:1" x14ac:dyDescent="0.35">
      <c r="A220" s="839">
        <f>ROW()</f>
        <v>220</v>
      </c>
    </row>
    <row r="221" spans="1:1" x14ac:dyDescent="0.35">
      <c r="A221" s="839">
        <f>ROW()</f>
        <v>221</v>
      </c>
    </row>
    <row r="222" spans="1:1" x14ac:dyDescent="0.35">
      <c r="A222" s="839">
        <f>ROW()</f>
        <v>222</v>
      </c>
    </row>
    <row r="223" spans="1:1" x14ac:dyDescent="0.35">
      <c r="A223" s="839">
        <f>ROW()</f>
        <v>223</v>
      </c>
    </row>
    <row r="224" spans="1:1" x14ac:dyDescent="0.35">
      <c r="A224" s="839">
        <f>ROW()</f>
        <v>224</v>
      </c>
    </row>
    <row r="225" spans="1:1" x14ac:dyDescent="0.35">
      <c r="A225" s="839">
        <f>ROW()</f>
        <v>225</v>
      </c>
    </row>
    <row r="226" spans="1:1" x14ac:dyDescent="0.35">
      <c r="A226" s="839">
        <f>ROW()</f>
        <v>226</v>
      </c>
    </row>
    <row r="227" spans="1:1" x14ac:dyDescent="0.35">
      <c r="A227" s="839">
        <f>ROW()</f>
        <v>227</v>
      </c>
    </row>
    <row r="228" spans="1:1" x14ac:dyDescent="0.35">
      <c r="A228" s="839">
        <f>ROW()</f>
        <v>228</v>
      </c>
    </row>
    <row r="229" spans="1:1" x14ac:dyDescent="0.35">
      <c r="A229" s="839">
        <f>ROW()</f>
        <v>229</v>
      </c>
    </row>
    <row r="230" spans="1:1" x14ac:dyDescent="0.35">
      <c r="A230" s="839">
        <f>ROW()</f>
        <v>230</v>
      </c>
    </row>
    <row r="231" spans="1:1" x14ac:dyDescent="0.35">
      <c r="A231" s="839">
        <f>ROW()</f>
        <v>231</v>
      </c>
    </row>
    <row r="232" spans="1:1" x14ac:dyDescent="0.35">
      <c r="A232" s="839">
        <f>ROW()</f>
        <v>232</v>
      </c>
    </row>
    <row r="233" spans="1:1" x14ac:dyDescent="0.35">
      <c r="A233" s="839">
        <f>ROW()</f>
        <v>233</v>
      </c>
    </row>
    <row r="234" spans="1:1" x14ac:dyDescent="0.35">
      <c r="A234" s="839">
        <f>ROW()</f>
        <v>234</v>
      </c>
    </row>
    <row r="235" spans="1:1" x14ac:dyDescent="0.35">
      <c r="A235" s="839">
        <f>ROW()</f>
        <v>235</v>
      </c>
    </row>
    <row r="236" spans="1:1" x14ac:dyDescent="0.35">
      <c r="A236" s="839">
        <f>ROW()</f>
        <v>236</v>
      </c>
    </row>
    <row r="237" spans="1:1" x14ac:dyDescent="0.35">
      <c r="A237" s="839">
        <f>ROW()</f>
        <v>237</v>
      </c>
    </row>
    <row r="238" spans="1:1" x14ac:dyDescent="0.35">
      <c r="A238" s="839">
        <f>ROW()</f>
        <v>238</v>
      </c>
    </row>
    <row r="239" spans="1:1" x14ac:dyDescent="0.35">
      <c r="A239" s="839">
        <f>ROW()</f>
        <v>239</v>
      </c>
    </row>
    <row r="240" spans="1:1" x14ac:dyDescent="0.35">
      <c r="A240" s="839">
        <f>ROW()</f>
        <v>240</v>
      </c>
    </row>
    <row r="241" spans="1:1" x14ac:dyDescent="0.35">
      <c r="A241" s="839">
        <f>ROW()</f>
        <v>241</v>
      </c>
    </row>
    <row r="242" spans="1:1" x14ac:dyDescent="0.35">
      <c r="A242" s="839">
        <f>ROW()</f>
        <v>242</v>
      </c>
    </row>
    <row r="243" spans="1:1" x14ac:dyDescent="0.35">
      <c r="A243" s="839">
        <f>ROW()</f>
        <v>243</v>
      </c>
    </row>
    <row r="244" spans="1:1" x14ac:dyDescent="0.35">
      <c r="A244" s="839">
        <f>ROW()</f>
        <v>244</v>
      </c>
    </row>
  </sheetData>
  <pageMargins left="0.7" right="0.7" top="0.75" bottom="0.75" header="0.3" footer="0.3"/>
  <pageSetup orientation="portrait" horizontalDpi="4294967293"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S192"/>
  <sheetViews>
    <sheetView workbookViewId="0">
      <pane ySplit="1" topLeftCell="A2" activePane="bottomLeft" state="frozen"/>
      <selection activeCell="E59" sqref="E59"/>
      <selection pane="bottomLeft" activeCell="E167" sqref="E167"/>
    </sheetView>
  </sheetViews>
  <sheetFormatPr defaultColWidth="9.1796875" defaultRowHeight="14.5" x14ac:dyDescent="0.35"/>
  <cols>
    <col min="1" max="1" width="12.453125" style="268" customWidth="1"/>
    <col min="2" max="2" width="18.7265625" style="268" customWidth="1"/>
    <col min="3" max="3" width="21" style="268" customWidth="1"/>
    <col min="4" max="4" width="16.26953125" style="268" bestFit="1" customWidth="1"/>
    <col min="5" max="5" width="15.453125" style="268" customWidth="1"/>
    <col min="6" max="6" width="15.26953125" style="268" bestFit="1" customWidth="1"/>
    <col min="7" max="7" width="16" style="268" customWidth="1"/>
    <col min="8" max="8" width="17.453125" style="268" bestFit="1" customWidth="1"/>
    <col min="9" max="9" width="16.26953125" style="268" bestFit="1" customWidth="1"/>
    <col min="10" max="10" width="18.453125" style="268" bestFit="1" customWidth="1"/>
    <col min="11" max="11" width="16.81640625" style="268" customWidth="1"/>
    <col min="12" max="12" width="17.54296875" style="268" bestFit="1" customWidth="1"/>
    <col min="13" max="13" width="16.81640625" style="268" customWidth="1"/>
    <col min="14" max="14" width="16.81640625" style="268" bestFit="1" customWidth="1"/>
    <col min="15" max="15" width="13.81640625" style="268" customWidth="1"/>
    <col min="16" max="16" width="17.54296875" style="268" bestFit="1" customWidth="1"/>
    <col min="17" max="17" width="16.81640625" style="1217" bestFit="1" customWidth="1"/>
    <col min="18" max="18" width="9.1796875" style="268"/>
    <col min="19" max="19" width="16" style="268" bestFit="1" customWidth="1"/>
    <col min="20" max="16384" width="9.1796875" style="268"/>
  </cols>
  <sheetData>
    <row r="1" spans="1:17" x14ac:dyDescent="0.35">
      <c r="A1" s="1215" t="s">
        <v>80</v>
      </c>
      <c r="B1" s="1215" t="s">
        <v>80</v>
      </c>
      <c r="C1" s="1215" t="s">
        <v>80</v>
      </c>
      <c r="D1" s="1216" t="s">
        <v>1286</v>
      </c>
      <c r="E1" s="1216" t="s">
        <v>1287</v>
      </c>
      <c r="F1" s="1216" t="s">
        <v>1288</v>
      </c>
      <c r="J1" s="268" t="s">
        <v>170</v>
      </c>
      <c r="N1" s="268" t="s">
        <v>300</v>
      </c>
    </row>
    <row r="2" spans="1:17" x14ac:dyDescent="0.35">
      <c r="A2" s="1215" t="s">
        <v>1289</v>
      </c>
      <c r="B2" s="1218"/>
      <c r="C2" s="1215" t="s">
        <v>1290</v>
      </c>
      <c r="D2" s="1219" t="s">
        <v>1291</v>
      </c>
      <c r="E2" s="1219" t="s">
        <v>1291</v>
      </c>
      <c r="F2" s="1219" t="s">
        <v>1291</v>
      </c>
      <c r="J2" s="1220" t="s">
        <v>1292</v>
      </c>
      <c r="K2" s="1220" t="s">
        <v>1293</v>
      </c>
      <c r="L2" s="1220" t="s">
        <v>1294</v>
      </c>
      <c r="N2" s="1220" t="s">
        <v>1292</v>
      </c>
      <c r="O2" s="1220" t="s">
        <v>1293</v>
      </c>
      <c r="P2" s="1220" t="s">
        <v>1295</v>
      </c>
      <c r="Q2" s="1221" t="s">
        <v>865</v>
      </c>
    </row>
    <row r="3" spans="1:17" x14ac:dyDescent="0.35">
      <c r="A3" s="1216" t="s">
        <v>1296</v>
      </c>
      <c r="B3" s="1216" t="s">
        <v>1297</v>
      </c>
      <c r="C3" s="1216" t="s">
        <v>1298</v>
      </c>
      <c r="D3" s="1222">
        <v>254251938.19999999</v>
      </c>
      <c r="E3" s="1222">
        <v>130493438.65000001</v>
      </c>
      <c r="F3" s="1223">
        <v>3410328</v>
      </c>
      <c r="G3" s="862" t="s">
        <v>1299</v>
      </c>
      <c r="H3" s="987">
        <v>0.65449999999999997</v>
      </c>
      <c r="I3" s="987">
        <v>0.34549999999999997</v>
      </c>
      <c r="J3" s="831"/>
      <c r="K3" s="1224">
        <f>D3+$F3*H3</f>
        <v>256483997.87599999</v>
      </c>
      <c r="L3" s="1213">
        <f>SUM(J3:K3)</f>
        <v>256483997.87599999</v>
      </c>
      <c r="N3" s="831"/>
      <c r="O3" s="1224">
        <f>E3+$F3*I3</f>
        <v>131671706.97400001</v>
      </c>
      <c r="P3" s="1224">
        <f>SUM(N3:O3)</f>
        <v>131671706.97400001</v>
      </c>
      <c r="Q3" s="1224">
        <f>SUM(L3,O3)</f>
        <v>388155704.85000002</v>
      </c>
    </row>
    <row r="4" spans="1:17" x14ac:dyDescent="0.35">
      <c r="A4" s="1225"/>
      <c r="B4" s="1225"/>
      <c r="C4" s="1216" t="s">
        <v>1300</v>
      </c>
      <c r="D4" s="1222">
        <v>3476.24</v>
      </c>
      <c r="E4" s="1222"/>
      <c r="F4" s="1223"/>
      <c r="H4" s="987">
        <v>0.65449999999999997</v>
      </c>
      <c r="I4" s="987">
        <v>0.34549999999999997</v>
      </c>
      <c r="J4" s="1224">
        <f t="shared" ref="J4:J67" si="0">D4+$F4*H4</f>
        <v>3476.24</v>
      </c>
      <c r="K4" s="1224"/>
      <c r="L4" s="1213">
        <f t="shared" ref="L4:L67" si="1">SUM(J4:K4)</f>
        <v>3476.24</v>
      </c>
      <c r="N4" s="1224">
        <f t="shared" ref="N4:N67" si="2">E4+$F4*I4</f>
        <v>0</v>
      </c>
      <c r="O4" s="1224"/>
      <c r="P4" s="1224">
        <f t="shared" ref="P4:P67" si="3">SUM(N4:O4)</f>
        <v>0</v>
      </c>
      <c r="Q4" s="1224">
        <f t="shared" ref="Q4:Q67" si="4">SUM(L4,O4)</f>
        <v>3476.24</v>
      </c>
    </row>
    <row r="5" spans="1:17" x14ac:dyDescent="0.35">
      <c r="A5" s="1225"/>
      <c r="B5" s="1225"/>
      <c r="C5" s="1216" t="s">
        <v>1301</v>
      </c>
      <c r="D5" s="1222">
        <v>80</v>
      </c>
      <c r="E5" s="1222"/>
      <c r="F5" s="1223"/>
      <c r="H5" s="987">
        <v>0.65449999999999997</v>
      </c>
      <c r="I5" s="987">
        <v>0.34549999999999997</v>
      </c>
      <c r="J5" s="1224">
        <f t="shared" si="0"/>
        <v>80</v>
      </c>
      <c r="K5" s="1224"/>
      <c r="L5" s="1213">
        <f t="shared" si="1"/>
        <v>80</v>
      </c>
      <c r="N5" s="1224">
        <f t="shared" si="2"/>
        <v>0</v>
      </c>
      <c r="O5" s="1224"/>
      <c r="P5" s="1224">
        <f t="shared" si="3"/>
        <v>0</v>
      </c>
      <c r="Q5" s="1224">
        <f t="shared" si="4"/>
        <v>80</v>
      </c>
    </row>
    <row r="6" spans="1:17" x14ac:dyDescent="0.35">
      <c r="A6" s="1225"/>
      <c r="B6" s="1225"/>
      <c r="C6" s="1216" t="s">
        <v>1302</v>
      </c>
      <c r="D6" s="1222">
        <v>117.39</v>
      </c>
      <c r="E6" s="1222"/>
      <c r="F6" s="1223"/>
      <c r="H6" s="987">
        <v>0.65449999999999997</v>
      </c>
      <c r="I6" s="987">
        <v>0.34549999999999997</v>
      </c>
      <c r="J6" s="1224">
        <f t="shared" si="0"/>
        <v>117.39</v>
      </c>
      <c r="K6" s="1224"/>
      <c r="L6" s="1213">
        <f t="shared" si="1"/>
        <v>117.39</v>
      </c>
      <c r="N6" s="1224">
        <f t="shared" si="2"/>
        <v>0</v>
      </c>
      <c r="O6" s="1224"/>
      <c r="P6" s="1224">
        <f t="shared" si="3"/>
        <v>0</v>
      </c>
      <c r="Q6" s="1224">
        <f t="shared" si="4"/>
        <v>117.39</v>
      </c>
    </row>
    <row r="7" spans="1:17" x14ac:dyDescent="0.35">
      <c r="A7" s="1225"/>
      <c r="B7" s="1225"/>
      <c r="C7" s="1216" t="s">
        <v>1303</v>
      </c>
      <c r="D7" s="1222">
        <v>10460.950000000001</v>
      </c>
      <c r="E7" s="1222"/>
      <c r="F7" s="1223"/>
      <c r="H7" s="987">
        <v>0.65449999999999997</v>
      </c>
      <c r="I7" s="987">
        <v>0.34549999999999997</v>
      </c>
      <c r="J7" s="1224">
        <f t="shared" si="0"/>
        <v>10460.950000000001</v>
      </c>
      <c r="K7" s="1224"/>
      <c r="L7" s="1213">
        <f t="shared" si="1"/>
        <v>10460.950000000001</v>
      </c>
      <c r="N7" s="1224">
        <f t="shared" si="2"/>
        <v>0</v>
      </c>
      <c r="O7" s="1224"/>
      <c r="P7" s="1224">
        <f t="shared" si="3"/>
        <v>0</v>
      </c>
      <c r="Q7" s="1224">
        <f t="shared" si="4"/>
        <v>10460.950000000001</v>
      </c>
    </row>
    <row r="8" spans="1:17" x14ac:dyDescent="0.35">
      <c r="A8" s="1225"/>
      <c r="B8" s="1225"/>
      <c r="C8" s="1216" t="s">
        <v>1304</v>
      </c>
      <c r="D8" s="1222">
        <v>3702.35</v>
      </c>
      <c r="E8" s="1222"/>
      <c r="F8" s="1223"/>
      <c r="H8" s="987">
        <v>0.65449999999999997</v>
      </c>
      <c r="I8" s="987">
        <v>0.34549999999999997</v>
      </c>
      <c r="J8" s="1224">
        <f t="shared" si="0"/>
        <v>3702.35</v>
      </c>
      <c r="K8" s="1224"/>
      <c r="L8" s="1213">
        <f t="shared" si="1"/>
        <v>3702.35</v>
      </c>
      <c r="N8" s="1224">
        <f t="shared" si="2"/>
        <v>0</v>
      </c>
      <c r="O8" s="1224"/>
      <c r="P8" s="1224">
        <f t="shared" si="3"/>
        <v>0</v>
      </c>
      <c r="Q8" s="1224">
        <f t="shared" si="4"/>
        <v>3702.35</v>
      </c>
    </row>
    <row r="9" spans="1:17" x14ac:dyDescent="0.35">
      <c r="A9" s="1225"/>
      <c r="B9" s="1225"/>
      <c r="C9" s="1216" t="s">
        <v>1305</v>
      </c>
      <c r="D9" s="1222">
        <v>20532.82</v>
      </c>
      <c r="E9" s="1222"/>
      <c r="F9" s="1223"/>
      <c r="H9" s="987">
        <v>0.65449999999999997</v>
      </c>
      <c r="I9" s="987">
        <v>0.34549999999999997</v>
      </c>
      <c r="J9" s="1224">
        <f t="shared" si="0"/>
        <v>20532.82</v>
      </c>
      <c r="K9" s="1224"/>
      <c r="L9" s="1213">
        <f t="shared" si="1"/>
        <v>20532.82</v>
      </c>
      <c r="N9" s="1224">
        <f t="shared" si="2"/>
        <v>0</v>
      </c>
      <c r="O9" s="1224"/>
      <c r="P9" s="1224">
        <f t="shared" si="3"/>
        <v>0</v>
      </c>
      <c r="Q9" s="1224">
        <f t="shared" si="4"/>
        <v>20532.82</v>
      </c>
    </row>
    <row r="10" spans="1:17" x14ac:dyDescent="0.35">
      <c r="A10" s="1225"/>
      <c r="B10" s="1225"/>
      <c r="C10" s="1216" t="s">
        <v>1306</v>
      </c>
      <c r="D10" s="1222">
        <v>26442.34</v>
      </c>
      <c r="E10" s="1222"/>
      <c r="F10" s="1223"/>
      <c r="H10" s="987">
        <v>0.65449999999999997</v>
      </c>
      <c r="I10" s="987">
        <v>0.34549999999999997</v>
      </c>
      <c r="J10" s="1224">
        <f t="shared" si="0"/>
        <v>26442.34</v>
      </c>
      <c r="K10" s="1224"/>
      <c r="L10" s="1213">
        <f t="shared" si="1"/>
        <v>26442.34</v>
      </c>
      <c r="N10" s="1224">
        <f t="shared" si="2"/>
        <v>0</v>
      </c>
      <c r="O10" s="1224"/>
      <c r="P10" s="1224">
        <f t="shared" si="3"/>
        <v>0</v>
      </c>
      <c r="Q10" s="1224">
        <f t="shared" si="4"/>
        <v>26442.34</v>
      </c>
    </row>
    <row r="11" spans="1:17" x14ac:dyDescent="0.35">
      <c r="A11" s="1225"/>
      <c r="B11" s="1225"/>
      <c r="C11" s="1216" t="s">
        <v>1307</v>
      </c>
      <c r="D11" s="1222">
        <v>7874.31</v>
      </c>
      <c r="E11" s="1222"/>
      <c r="F11" s="1223"/>
      <c r="H11" s="987">
        <v>0.65449999999999997</v>
      </c>
      <c r="I11" s="987">
        <v>0.34549999999999997</v>
      </c>
      <c r="J11" s="1224">
        <f t="shared" si="0"/>
        <v>7874.31</v>
      </c>
      <c r="K11" s="1224"/>
      <c r="L11" s="1213">
        <f t="shared" si="1"/>
        <v>7874.31</v>
      </c>
      <c r="N11" s="1224">
        <f t="shared" si="2"/>
        <v>0</v>
      </c>
      <c r="O11" s="1224"/>
      <c r="P11" s="1224">
        <f t="shared" si="3"/>
        <v>0</v>
      </c>
      <c r="Q11" s="1224">
        <f t="shared" si="4"/>
        <v>7874.31</v>
      </c>
    </row>
    <row r="12" spans="1:17" x14ac:dyDescent="0.35">
      <c r="A12" s="1225"/>
      <c r="B12" s="1225"/>
      <c r="C12" s="1216" t="s">
        <v>1308</v>
      </c>
      <c r="D12" s="1222">
        <v>116478.66</v>
      </c>
      <c r="E12" s="1222"/>
      <c r="F12" s="1223"/>
      <c r="H12" s="987">
        <v>0.65449999999999997</v>
      </c>
      <c r="I12" s="987">
        <v>0.34549999999999997</v>
      </c>
      <c r="J12" s="1224">
        <f t="shared" si="0"/>
        <v>116478.66</v>
      </c>
      <c r="K12" s="1224"/>
      <c r="L12" s="1213">
        <f t="shared" si="1"/>
        <v>116478.66</v>
      </c>
      <c r="N12" s="1224">
        <f t="shared" si="2"/>
        <v>0</v>
      </c>
      <c r="O12" s="1224"/>
      <c r="P12" s="1224">
        <f t="shared" si="3"/>
        <v>0</v>
      </c>
      <c r="Q12" s="1224">
        <f t="shared" si="4"/>
        <v>116478.66</v>
      </c>
    </row>
    <row r="13" spans="1:17" x14ac:dyDescent="0.35">
      <c r="A13" s="1225"/>
      <c r="B13" s="1225"/>
      <c r="C13" s="1216" t="s">
        <v>1309</v>
      </c>
      <c r="D13" s="1222">
        <v>172887.03</v>
      </c>
      <c r="E13" s="1222"/>
      <c r="F13" s="1223"/>
      <c r="H13" s="987">
        <v>0.65449999999999997</v>
      </c>
      <c r="I13" s="987">
        <v>0.34549999999999997</v>
      </c>
      <c r="J13" s="1224">
        <f t="shared" si="0"/>
        <v>172887.03</v>
      </c>
      <c r="K13" s="1224"/>
      <c r="L13" s="1213">
        <f t="shared" si="1"/>
        <v>172887.03</v>
      </c>
      <c r="N13" s="1224">
        <f t="shared" si="2"/>
        <v>0</v>
      </c>
      <c r="O13" s="1224"/>
      <c r="P13" s="1224">
        <f t="shared" si="3"/>
        <v>0</v>
      </c>
      <c r="Q13" s="1224">
        <f t="shared" si="4"/>
        <v>172887.03</v>
      </c>
    </row>
    <row r="14" spans="1:17" x14ac:dyDescent="0.35">
      <c r="A14" s="1225"/>
      <c r="B14" s="1225"/>
      <c r="C14" s="1216" t="s">
        <v>1310</v>
      </c>
      <c r="D14" s="1222">
        <v>24710.560000000001</v>
      </c>
      <c r="E14" s="1222"/>
      <c r="F14" s="1223"/>
      <c r="H14" s="987">
        <v>0.65449999999999997</v>
      </c>
      <c r="I14" s="987">
        <v>0.34549999999999997</v>
      </c>
      <c r="J14" s="1224">
        <f t="shared" si="0"/>
        <v>24710.560000000001</v>
      </c>
      <c r="K14" s="1224"/>
      <c r="L14" s="1213">
        <f t="shared" si="1"/>
        <v>24710.560000000001</v>
      </c>
      <c r="N14" s="1224">
        <f t="shared" si="2"/>
        <v>0</v>
      </c>
      <c r="O14" s="1224"/>
      <c r="P14" s="1224">
        <f t="shared" si="3"/>
        <v>0</v>
      </c>
      <c r="Q14" s="1224">
        <f t="shared" si="4"/>
        <v>24710.560000000001</v>
      </c>
    </row>
    <row r="15" spans="1:17" x14ac:dyDescent="0.35">
      <c r="A15" s="1225"/>
      <c r="B15" s="1225"/>
      <c r="C15" s="1216" t="s">
        <v>1311</v>
      </c>
      <c r="D15" s="1222">
        <v>87047.9</v>
      </c>
      <c r="E15" s="1222"/>
      <c r="F15" s="1223"/>
      <c r="H15" s="987">
        <v>0.65449999999999997</v>
      </c>
      <c r="I15" s="987">
        <v>0.34549999999999997</v>
      </c>
      <c r="J15" s="1224">
        <f t="shared" si="0"/>
        <v>87047.9</v>
      </c>
      <c r="K15" s="1224"/>
      <c r="L15" s="1213">
        <f t="shared" si="1"/>
        <v>87047.9</v>
      </c>
      <c r="N15" s="1224">
        <f t="shared" si="2"/>
        <v>0</v>
      </c>
      <c r="O15" s="1224"/>
      <c r="P15" s="1224">
        <f t="shared" si="3"/>
        <v>0</v>
      </c>
      <c r="Q15" s="1224">
        <f t="shared" si="4"/>
        <v>87047.9</v>
      </c>
    </row>
    <row r="16" spans="1:17" x14ac:dyDescent="0.35">
      <c r="A16" s="1225"/>
      <c r="B16" s="1225"/>
      <c r="C16" s="1216" t="s">
        <v>1312</v>
      </c>
      <c r="D16" s="1222">
        <v>4754.2</v>
      </c>
      <c r="E16" s="1222"/>
      <c r="F16" s="1223"/>
      <c r="H16" s="987">
        <v>0.65449999999999997</v>
      </c>
      <c r="I16" s="987">
        <v>0.34549999999999997</v>
      </c>
      <c r="J16" s="1224">
        <f t="shared" si="0"/>
        <v>4754.2</v>
      </c>
      <c r="K16" s="1224"/>
      <c r="L16" s="1213">
        <f t="shared" si="1"/>
        <v>4754.2</v>
      </c>
      <c r="N16" s="1224">
        <f t="shared" si="2"/>
        <v>0</v>
      </c>
      <c r="O16" s="1224"/>
      <c r="P16" s="1224">
        <f t="shared" si="3"/>
        <v>0</v>
      </c>
      <c r="Q16" s="1224">
        <f t="shared" si="4"/>
        <v>4754.2</v>
      </c>
    </row>
    <row r="17" spans="1:17" x14ac:dyDescent="0.35">
      <c r="A17" s="1225"/>
      <c r="B17" s="1225"/>
      <c r="C17" s="1216" t="s">
        <v>1313</v>
      </c>
      <c r="D17" s="1222">
        <v>13363.51</v>
      </c>
      <c r="E17" s="1222"/>
      <c r="F17" s="1223"/>
      <c r="H17" s="987">
        <v>0.65449999999999997</v>
      </c>
      <c r="I17" s="987">
        <v>0.34549999999999997</v>
      </c>
      <c r="J17" s="1224">
        <f t="shared" si="0"/>
        <v>13363.51</v>
      </c>
      <c r="K17" s="1224"/>
      <c r="L17" s="1213">
        <f t="shared" si="1"/>
        <v>13363.51</v>
      </c>
      <c r="N17" s="1224">
        <f t="shared" si="2"/>
        <v>0</v>
      </c>
      <c r="O17" s="1224"/>
      <c r="P17" s="1224">
        <f t="shared" si="3"/>
        <v>0</v>
      </c>
      <c r="Q17" s="1224">
        <f t="shared" si="4"/>
        <v>13363.51</v>
      </c>
    </row>
    <row r="18" spans="1:17" x14ac:dyDescent="0.35">
      <c r="A18" s="1225"/>
      <c r="B18" s="1225"/>
      <c r="C18" s="1216" t="s">
        <v>1314</v>
      </c>
      <c r="D18" s="1222">
        <v>16263.22</v>
      </c>
      <c r="E18" s="1222"/>
      <c r="F18" s="1223"/>
      <c r="H18" s="987">
        <v>0.65449999999999997</v>
      </c>
      <c r="I18" s="987">
        <v>0.34549999999999997</v>
      </c>
      <c r="J18" s="1224">
        <f t="shared" si="0"/>
        <v>16263.22</v>
      </c>
      <c r="K18" s="1224"/>
      <c r="L18" s="1213">
        <f t="shared" si="1"/>
        <v>16263.22</v>
      </c>
      <c r="N18" s="1224">
        <f t="shared" si="2"/>
        <v>0</v>
      </c>
      <c r="O18" s="1224"/>
      <c r="P18" s="1224">
        <f t="shared" si="3"/>
        <v>0</v>
      </c>
      <c r="Q18" s="1224">
        <f t="shared" si="4"/>
        <v>16263.22</v>
      </c>
    </row>
    <row r="19" spans="1:17" x14ac:dyDescent="0.35">
      <c r="A19" s="1225"/>
      <c r="B19" s="1225"/>
      <c r="C19" s="1216" t="s">
        <v>1315</v>
      </c>
      <c r="D19" s="1222">
        <v>42914.7</v>
      </c>
      <c r="E19" s="1222"/>
      <c r="F19" s="1223"/>
      <c r="H19" s="987">
        <v>0.65449999999999997</v>
      </c>
      <c r="I19" s="987">
        <v>0.34549999999999997</v>
      </c>
      <c r="J19" s="1224">
        <f t="shared" si="0"/>
        <v>42914.7</v>
      </c>
      <c r="K19" s="1224"/>
      <c r="L19" s="1213">
        <f t="shared" si="1"/>
        <v>42914.7</v>
      </c>
      <c r="N19" s="1224">
        <f t="shared" si="2"/>
        <v>0</v>
      </c>
      <c r="O19" s="1224"/>
      <c r="P19" s="1224">
        <f t="shared" si="3"/>
        <v>0</v>
      </c>
      <c r="Q19" s="1224">
        <f t="shared" si="4"/>
        <v>42914.7</v>
      </c>
    </row>
    <row r="20" spans="1:17" x14ac:dyDescent="0.35">
      <c r="A20" s="1225"/>
      <c r="B20" s="1225"/>
      <c r="C20" s="1216" t="s">
        <v>1316</v>
      </c>
      <c r="D20" s="1222">
        <v>93069.97</v>
      </c>
      <c r="E20" s="1222"/>
      <c r="F20" s="1223"/>
      <c r="H20" s="987">
        <v>0.65449999999999997</v>
      </c>
      <c r="I20" s="987">
        <v>0.34549999999999997</v>
      </c>
      <c r="J20" s="1224">
        <f t="shared" si="0"/>
        <v>93069.97</v>
      </c>
      <c r="K20" s="1224"/>
      <c r="L20" s="1213">
        <f t="shared" si="1"/>
        <v>93069.97</v>
      </c>
      <c r="N20" s="1224">
        <f t="shared" si="2"/>
        <v>0</v>
      </c>
      <c r="O20" s="1224"/>
      <c r="P20" s="1224">
        <f t="shared" si="3"/>
        <v>0</v>
      </c>
      <c r="Q20" s="1224">
        <f t="shared" si="4"/>
        <v>93069.97</v>
      </c>
    </row>
    <row r="21" spans="1:17" x14ac:dyDescent="0.35">
      <c r="A21" s="1225"/>
      <c r="B21" s="1225"/>
      <c r="C21" s="1216" t="s">
        <v>1317</v>
      </c>
      <c r="D21" s="1222">
        <v>293172.01</v>
      </c>
      <c r="E21" s="1222"/>
      <c r="F21" s="1223"/>
      <c r="H21" s="987">
        <v>0.65449999999999997</v>
      </c>
      <c r="I21" s="987">
        <v>0.34549999999999997</v>
      </c>
      <c r="J21" s="1224">
        <f t="shared" si="0"/>
        <v>293172.01</v>
      </c>
      <c r="K21" s="1224"/>
      <c r="L21" s="1213">
        <f t="shared" si="1"/>
        <v>293172.01</v>
      </c>
      <c r="N21" s="1224">
        <f t="shared" si="2"/>
        <v>0</v>
      </c>
      <c r="O21" s="1224"/>
      <c r="P21" s="1224">
        <f t="shared" si="3"/>
        <v>0</v>
      </c>
      <c r="Q21" s="1224">
        <f t="shared" si="4"/>
        <v>293172.01</v>
      </c>
    </row>
    <row r="22" spans="1:17" x14ac:dyDescent="0.35">
      <c r="A22" s="1225"/>
      <c r="B22" s="1225"/>
      <c r="C22" s="1216" t="s">
        <v>1318</v>
      </c>
      <c r="D22" s="1222">
        <v>651796.35</v>
      </c>
      <c r="E22" s="1222"/>
      <c r="F22" s="1223"/>
      <c r="H22" s="987">
        <v>0.65449999999999997</v>
      </c>
      <c r="I22" s="987">
        <v>0.34549999999999997</v>
      </c>
      <c r="J22" s="1224">
        <f t="shared" si="0"/>
        <v>651796.35</v>
      </c>
      <c r="K22" s="1224"/>
      <c r="L22" s="1213">
        <f t="shared" si="1"/>
        <v>651796.35</v>
      </c>
      <c r="N22" s="1224">
        <f t="shared" si="2"/>
        <v>0</v>
      </c>
      <c r="O22" s="1224"/>
      <c r="P22" s="1224">
        <f t="shared" si="3"/>
        <v>0</v>
      </c>
      <c r="Q22" s="1224">
        <f t="shared" si="4"/>
        <v>651796.35</v>
      </c>
    </row>
    <row r="23" spans="1:17" x14ac:dyDescent="0.35">
      <c r="A23" s="1225"/>
      <c r="B23" s="1225"/>
      <c r="C23" s="1216" t="s">
        <v>1319</v>
      </c>
      <c r="D23" s="1222">
        <v>64881.67</v>
      </c>
      <c r="E23" s="1222"/>
      <c r="F23" s="1223"/>
      <c r="H23" s="987">
        <v>0.65449999999999997</v>
      </c>
      <c r="I23" s="987">
        <v>0.34549999999999997</v>
      </c>
      <c r="J23" s="1224">
        <f t="shared" si="0"/>
        <v>64881.67</v>
      </c>
      <c r="K23" s="1224"/>
      <c r="L23" s="1213">
        <f t="shared" si="1"/>
        <v>64881.67</v>
      </c>
      <c r="N23" s="1224">
        <f t="shared" si="2"/>
        <v>0</v>
      </c>
      <c r="O23" s="1224"/>
      <c r="P23" s="1224">
        <f t="shared" si="3"/>
        <v>0</v>
      </c>
      <c r="Q23" s="1224">
        <f t="shared" si="4"/>
        <v>64881.67</v>
      </c>
    </row>
    <row r="24" spans="1:17" x14ac:dyDescent="0.35">
      <c r="A24" s="1225"/>
      <c r="B24" s="1225"/>
      <c r="C24" s="1216" t="s">
        <v>1320</v>
      </c>
      <c r="D24" s="1222">
        <v>23083.11</v>
      </c>
      <c r="E24" s="1222"/>
      <c r="F24" s="1223"/>
      <c r="H24" s="987">
        <v>0.65449999999999997</v>
      </c>
      <c r="I24" s="987">
        <v>0.34549999999999997</v>
      </c>
      <c r="J24" s="1224">
        <f t="shared" si="0"/>
        <v>23083.11</v>
      </c>
      <c r="K24" s="1224"/>
      <c r="L24" s="1213">
        <f t="shared" si="1"/>
        <v>23083.11</v>
      </c>
      <c r="N24" s="1224">
        <f t="shared" si="2"/>
        <v>0</v>
      </c>
      <c r="O24" s="1224"/>
      <c r="P24" s="1224">
        <f t="shared" si="3"/>
        <v>0</v>
      </c>
      <c r="Q24" s="1224">
        <f t="shared" si="4"/>
        <v>23083.11</v>
      </c>
    </row>
    <row r="25" spans="1:17" x14ac:dyDescent="0.35">
      <c r="A25" s="1225"/>
      <c r="B25" s="1225"/>
      <c r="C25" s="1216" t="s">
        <v>1321</v>
      </c>
      <c r="D25" s="1222">
        <v>13303.66</v>
      </c>
      <c r="E25" s="1222"/>
      <c r="F25" s="1223"/>
      <c r="H25" s="987">
        <v>0.65449999999999997</v>
      </c>
      <c r="I25" s="987">
        <v>0.34549999999999997</v>
      </c>
      <c r="J25" s="1224">
        <f t="shared" si="0"/>
        <v>13303.66</v>
      </c>
      <c r="K25" s="1224"/>
      <c r="L25" s="1213">
        <f t="shared" si="1"/>
        <v>13303.66</v>
      </c>
      <c r="N25" s="1224">
        <f t="shared" si="2"/>
        <v>0</v>
      </c>
      <c r="O25" s="1224"/>
      <c r="P25" s="1224">
        <f t="shared" si="3"/>
        <v>0</v>
      </c>
      <c r="Q25" s="1224">
        <f t="shared" si="4"/>
        <v>13303.66</v>
      </c>
    </row>
    <row r="26" spans="1:17" x14ac:dyDescent="0.35">
      <c r="A26" s="1225"/>
      <c r="B26" s="1225"/>
      <c r="C26" s="1216" t="s">
        <v>1322</v>
      </c>
      <c r="D26" s="1222">
        <v>82230.09</v>
      </c>
      <c r="E26" s="1222"/>
      <c r="F26" s="1223"/>
      <c r="H26" s="987">
        <v>0.65449999999999997</v>
      </c>
      <c r="I26" s="987">
        <v>0.34549999999999997</v>
      </c>
      <c r="J26" s="1224">
        <f t="shared" si="0"/>
        <v>82230.09</v>
      </c>
      <c r="K26" s="1224"/>
      <c r="L26" s="1213">
        <f t="shared" si="1"/>
        <v>82230.09</v>
      </c>
      <c r="N26" s="1224">
        <f t="shared" si="2"/>
        <v>0</v>
      </c>
      <c r="O26" s="1224"/>
      <c r="P26" s="1224">
        <f t="shared" si="3"/>
        <v>0</v>
      </c>
      <c r="Q26" s="1224">
        <f t="shared" si="4"/>
        <v>82230.09</v>
      </c>
    </row>
    <row r="27" spans="1:17" x14ac:dyDescent="0.35">
      <c r="A27" s="1225"/>
      <c r="B27" s="1225"/>
      <c r="C27" s="1216" t="s">
        <v>1323</v>
      </c>
      <c r="D27" s="1222">
        <v>30683.08</v>
      </c>
      <c r="E27" s="1222"/>
      <c r="F27" s="1223"/>
      <c r="H27" s="987">
        <v>0.65449999999999997</v>
      </c>
      <c r="I27" s="987">
        <v>0.34549999999999997</v>
      </c>
      <c r="J27" s="1224">
        <f t="shared" si="0"/>
        <v>30683.08</v>
      </c>
      <c r="K27" s="1224"/>
      <c r="L27" s="1213">
        <f t="shared" si="1"/>
        <v>30683.08</v>
      </c>
      <c r="N27" s="1224">
        <f t="shared" si="2"/>
        <v>0</v>
      </c>
      <c r="O27" s="1224"/>
      <c r="P27" s="1224">
        <f t="shared" si="3"/>
        <v>0</v>
      </c>
      <c r="Q27" s="1224">
        <f t="shared" si="4"/>
        <v>30683.08</v>
      </c>
    </row>
    <row r="28" spans="1:17" x14ac:dyDescent="0.35">
      <c r="A28" s="1225"/>
      <c r="B28" s="1225"/>
      <c r="C28" s="1216" t="s">
        <v>1324</v>
      </c>
      <c r="D28" s="1222">
        <v>646156.25</v>
      </c>
      <c r="E28" s="1222"/>
      <c r="F28" s="1223"/>
      <c r="H28" s="987">
        <v>0.65449999999999997</v>
      </c>
      <c r="I28" s="987">
        <v>0.34549999999999997</v>
      </c>
      <c r="J28" s="1224">
        <f t="shared" si="0"/>
        <v>646156.25</v>
      </c>
      <c r="K28" s="1224"/>
      <c r="L28" s="1213">
        <f t="shared" si="1"/>
        <v>646156.25</v>
      </c>
      <c r="N28" s="1224">
        <f t="shared" si="2"/>
        <v>0</v>
      </c>
      <c r="O28" s="1224"/>
      <c r="P28" s="1224">
        <f t="shared" si="3"/>
        <v>0</v>
      </c>
      <c r="Q28" s="1224">
        <f t="shared" si="4"/>
        <v>646156.25</v>
      </c>
    </row>
    <row r="29" spans="1:17" x14ac:dyDescent="0.35">
      <c r="A29" s="1225"/>
      <c r="B29" s="1225"/>
      <c r="C29" s="1216" t="s">
        <v>1325</v>
      </c>
      <c r="D29" s="1222">
        <v>205451.66</v>
      </c>
      <c r="E29" s="1222"/>
      <c r="F29" s="1223"/>
      <c r="H29" s="987">
        <v>0.65449999999999997</v>
      </c>
      <c r="I29" s="987">
        <v>0.34549999999999997</v>
      </c>
      <c r="J29" s="1224">
        <f t="shared" si="0"/>
        <v>205451.66</v>
      </c>
      <c r="K29" s="1224"/>
      <c r="L29" s="1213">
        <f t="shared" si="1"/>
        <v>205451.66</v>
      </c>
      <c r="N29" s="1224">
        <f t="shared" si="2"/>
        <v>0</v>
      </c>
      <c r="O29" s="1224"/>
      <c r="P29" s="1224">
        <f t="shared" si="3"/>
        <v>0</v>
      </c>
      <c r="Q29" s="1224">
        <f t="shared" si="4"/>
        <v>205451.66</v>
      </c>
    </row>
    <row r="30" spans="1:17" x14ac:dyDescent="0.35">
      <c r="A30" s="1225"/>
      <c r="B30" s="1225"/>
      <c r="C30" s="1216" t="s">
        <v>1326</v>
      </c>
      <c r="D30" s="1222">
        <v>163297.5</v>
      </c>
      <c r="E30" s="1222"/>
      <c r="F30" s="1223"/>
      <c r="H30" s="987">
        <v>0.65449999999999997</v>
      </c>
      <c r="I30" s="987">
        <v>0.34549999999999997</v>
      </c>
      <c r="J30" s="1224">
        <f t="shared" si="0"/>
        <v>163297.5</v>
      </c>
      <c r="K30" s="1224"/>
      <c r="L30" s="1213">
        <f t="shared" si="1"/>
        <v>163297.5</v>
      </c>
      <c r="N30" s="1224">
        <f t="shared" si="2"/>
        <v>0</v>
      </c>
      <c r="O30" s="1224"/>
      <c r="P30" s="1224">
        <f t="shared" si="3"/>
        <v>0</v>
      </c>
      <c r="Q30" s="1224">
        <f t="shared" si="4"/>
        <v>163297.5</v>
      </c>
    </row>
    <row r="31" spans="1:17" x14ac:dyDescent="0.35">
      <c r="A31" s="1225"/>
      <c r="B31" s="1225"/>
      <c r="C31" s="1216" t="s">
        <v>1327</v>
      </c>
      <c r="D31" s="1222">
        <v>55484.39</v>
      </c>
      <c r="E31" s="1222"/>
      <c r="F31" s="1223"/>
      <c r="H31" s="987">
        <v>0.65449999999999997</v>
      </c>
      <c r="I31" s="987">
        <v>0.34549999999999997</v>
      </c>
      <c r="J31" s="1224">
        <f t="shared" si="0"/>
        <v>55484.39</v>
      </c>
      <c r="K31" s="1224"/>
      <c r="L31" s="1213">
        <f t="shared" si="1"/>
        <v>55484.39</v>
      </c>
      <c r="N31" s="1224">
        <f t="shared" si="2"/>
        <v>0</v>
      </c>
      <c r="O31" s="1224"/>
      <c r="P31" s="1224">
        <f t="shared" si="3"/>
        <v>0</v>
      </c>
      <c r="Q31" s="1224">
        <f t="shared" si="4"/>
        <v>55484.39</v>
      </c>
    </row>
    <row r="32" spans="1:17" x14ac:dyDescent="0.35">
      <c r="A32" s="1225"/>
      <c r="B32" s="1225"/>
      <c r="C32" s="1216" t="s">
        <v>1328</v>
      </c>
      <c r="D32" s="1222">
        <v>5322.63</v>
      </c>
      <c r="E32" s="1222"/>
      <c r="F32" s="1223"/>
      <c r="H32" s="987">
        <v>0.65449999999999997</v>
      </c>
      <c r="I32" s="987">
        <v>0.34549999999999997</v>
      </c>
      <c r="J32" s="1224">
        <f t="shared" si="0"/>
        <v>5322.63</v>
      </c>
      <c r="K32" s="1224"/>
      <c r="L32" s="1213">
        <f t="shared" si="1"/>
        <v>5322.63</v>
      </c>
      <c r="N32" s="1224">
        <f t="shared" si="2"/>
        <v>0</v>
      </c>
      <c r="O32" s="1224"/>
      <c r="P32" s="1224">
        <f t="shared" si="3"/>
        <v>0</v>
      </c>
      <c r="Q32" s="1224">
        <f t="shared" si="4"/>
        <v>5322.63</v>
      </c>
    </row>
    <row r="33" spans="1:17" x14ac:dyDescent="0.35">
      <c r="A33" s="1225"/>
      <c r="B33" s="1225"/>
      <c r="C33" s="1216" t="s">
        <v>1329</v>
      </c>
      <c r="D33" s="1222">
        <v>154830.13</v>
      </c>
      <c r="E33" s="1222"/>
      <c r="F33" s="1223"/>
      <c r="H33" s="987">
        <v>0.65449999999999997</v>
      </c>
      <c r="I33" s="987">
        <v>0.34549999999999997</v>
      </c>
      <c r="J33" s="1224">
        <f t="shared" si="0"/>
        <v>154830.13</v>
      </c>
      <c r="K33" s="1224"/>
      <c r="L33" s="1213">
        <f t="shared" si="1"/>
        <v>154830.13</v>
      </c>
      <c r="N33" s="1224">
        <f t="shared" si="2"/>
        <v>0</v>
      </c>
      <c r="O33" s="1224"/>
      <c r="P33" s="1224">
        <f t="shared" si="3"/>
        <v>0</v>
      </c>
      <c r="Q33" s="1224">
        <f t="shared" si="4"/>
        <v>154830.13</v>
      </c>
    </row>
    <row r="34" spans="1:17" x14ac:dyDescent="0.35">
      <c r="A34" s="1225"/>
      <c r="B34" s="1225"/>
      <c r="C34" s="1216" t="s">
        <v>1330</v>
      </c>
      <c r="D34" s="1222">
        <v>-37797.65</v>
      </c>
      <c r="E34" s="1222"/>
      <c r="F34" s="1223"/>
      <c r="H34" s="987">
        <v>0.65449999999999997</v>
      </c>
      <c r="I34" s="987">
        <v>0.34549999999999997</v>
      </c>
      <c r="J34" s="1224">
        <f t="shared" si="0"/>
        <v>-37797.65</v>
      </c>
      <c r="K34" s="1224"/>
      <c r="L34" s="1213">
        <f t="shared" si="1"/>
        <v>-37797.65</v>
      </c>
      <c r="N34" s="1224">
        <f t="shared" si="2"/>
        <v>0</v>
      </c>
      <c r="O34" s="1224"/>
      <c r="P34" s="1224">
        <f t="shared" si="3"/>
        <v>0</v>
      </c>
      <c r="Q34" s="1224">
        <f t="shared" si="4"/>
        <v>-37797.65</v>
      </c>
    </row>
    <row r="35" spans="1:17" x14ac:dyDescent="0.35">
      <c r="A35" s="1225"/>
      <c r="B35" s="1225"/>
      <c r="C35" s="1216" t="s">
        <v>1331</v>
      </c>
      <c r="D35" s="1222">
        <v>56691.29</v>
      </c>
      <c r="E35" s="1222"/>
      <c r="F35" s="1223"/>
      <c r="H35" s="987">
        <v>0.65449999999999997</v>
      </c>
      <c r="I35" s="987">
        <v>0.34549999999999997</v>
      </c>
      <c r="J35" s="1224">
        <f t="shared" si="0"/>
        <v>56691.29</v>
      </c>
      <c r="K35" s="1224"/>
      <c r="L35" s="1213">
        <f t="shared" si="1"/>
        <v>56691.29</v>
      </c>
      <c r="N35" s="1224">
        <f t="shared" si="2"/>
        <v>0</v>
      </c>
      <c r="O35" s="1224"/>
      <c r="P35" s="1224">
        <f t="shared" si="3"/>
        <v>0</v>
      </c>
      <c r="Q35" s="1224">
        <f t="shared" si="4"/>
        <v>56691.29</v>
      </c>
    </row>
    <row r="36" spans="1:17" x14ac:dyDescent="0.35">
      <c r="A36" s="1225"/>
      <c r="B36" s="1225"/>
      <c r="C36" s="1216" t="s">
        <v>1332</v>
      </c>
      <c r="D36" s="1222">
        <v>-36684.269999999997</v>
      </c>
      <c r="E36" s="1222"/>
      <c r="F36" s="1223"/>
      <c r="H36" s="987">
        <v>0.65449999999999997</v>
      </c>
      <c r="I36" s="987">
        <v>0.34549999999999997</v>
      </c>
      <c r="J36" s="1224">
        <f t="shared" si="0"/>
        <v>-36684.269999999997</v>
      </c>
      <c r="K36" s="1224"/>
      <c r="L36" s="1213">
        <f t="shared" si="1"/>
        <v>-36684.269999999997</v>
      </c>
      <c r="N36" s="1224">
        <f t="shared" si="2"/>
        <v>0</v>
      </c>
      <c r="O36" s="1224"/>
      <c r="P36" s="1224">
        <f t="shared" si="3"/>
        <v>0</v>
      </c>
      <c r="Q36" s="1224">
        <f t="shared" si="4"/>
        <v>-36684.269999999997</v>
      </c>
    </row>
    <row r="37" spans="1:17" x14ac:dyDescent="0.35">
      <c r="A37" s="1225"/>
      <c r="B37" s="1225"/>
      <c r="C37" s="1216" t="s">
        <v>1333</v>
      </c>
      <c r="D37" s="1222">
        <v>181758.44</v>
      </c>
      <c r="E37" s="1222"/>
      <c r="F37" s="1223"/>
      <c r="H37" s="987">
        <v>0.65449999999999997</v>
      </c>
      <c r="I37" s="987">
        <v>0.34549999999999997</v>
      </c>
      <c r="J37" s="1224">
        <f t="shared" si="0"/>
        <v>181758.44</v>
      </c>
      <c r="K37" s="1224"/>
      <c r="L37" s="1213">
        <f t="shared" si="1"/>
        <v>181758.44</v>
      </c>
      <c r="N37" s="1224">
        <f t="shared" si="2"/>
        <v>0</v>
      </c>
      <c r="O37" s="1224"/>
      <c r="P37" s="1224">
        <f t="shared" si="3"/>
        <v>0</v>
      </c>
      <c r="Q37" s="1224">
        <f t="shared" si="4"/>
        <v>181758.44</v>
      </c>
    </row>
    <row r="38" spans="1:17" x14ac:dyDescent="0.35">
      <c r="A38" s="1225"/>
      <c r="B38" s="1225"/>
      <c r="C38" s="1216" t="s">
        <v>1334</v>
      </c>
      <c r="D38" s="1222">
        <v>21427.57</v>
      </c>
      <c r="E38" s="1222"/>
      <c r="F38" s="1223"/>
      <c r="H38" s="987">
        <v>0.65449999999999997</v>
      </c>
      <c r="I38" s="987">
        <v>0.34549999999999997</v>
      </c>
      <c r="J38" s="1224">
        <f t="shared" si="0"/>
        <v>21427.57</v>
      </c>
      <c r="K38" s="1224"/>
      <c r="L38" s="1213">
        <f t="shared" si="1"/>
        <v>21427.57</v>
      </c>
      <c r="N38" s="1224">
        <f t="shared" si="2"/>
        <v>0</v>
      </c>
      <c r="O38" s="1224"/>
      <c r="P38" s="1224">
        <f t="shared" si="3"/>
        <v>0</v>
      </c>
      <c r="Q38" s="1224">
        <f t="shared" si="4"/>
        <v>21427.57</v>
      </c>
    </row>
    <row r="39" spans="1:17" x14ac:dyDescent="0.35">
      <c r="A39" s="1225"/>
      <c r="B39" s="1225"/>
      <c r="C39" s="1216" t="s">
        <v>1335</v>
      </c>
      <c r="D39" s="1222">
        <v>5607.25</v>
      </c>
      <c r="E39" s="1222"/>
      <c r="F39" s="1223"/>
      <c r="H39" s="987">
        <v>0.65449999999999997</v>
      </c>
      <c r="I39" s="987">
        <v>0.34549999999999997</v>
      </c>
      <c r="J39" s="1224">
        <f t="shared" si="0"/>
        <v>5607.25</v>
      </c>
      <c r="K39" s="1224"/>
      <c r="L39" s="1213">
        <f t="shared" si="1"/>
        <v>5607.25</v>
      </c>
      <c r="N39" s="1224">
        <f t="shared" si="2"/>
        <v>0</v>
      </c>
      <c r="O39" s="1224"/>
      <c r="P39" s="1224">
        <f t="shared" si="3"/>
        <v>0</v>
      </c>
      <c r="Q39" s="1224">
        <f t="shared" si="4"/>
        <v>5607.25</v>
      </c>
    </row>
    <row r="40" spans="1:17" x14ac:dyDescent="0.35">
      <c r="A40" s="1225"/>
      <c r="B40" s="1225"/>
      <c r="C40" s="1216" t="s">
        <v>1336</v>
      </c>
      <c r="D40" s="1222">
        <v>116298.93</v>
      </c>
      <c r="E40" s="1222"/>
      <c r="F40" s="1223"/>
      <c r="H40" s="987">
        <v>0.65449999999999997</v>
      </c>
      <c r="I40" s="987">
        <v>0.34549999999999997</v>
      </c>
      <c r="J40" s="1224">
        <f t="shared" si="0"/>
        <v>116298.93</v>
      </c>
      <c r="K40" s="1224"/>
      <c r="L40" s="1213">
        <f t="shared" si="1"/>
        <v>116298.93</v>
      </c>
      <c r="N40" s="1224">
        <f t="shared" si="2"/>
        <v>0</v>
      </c>
      <c r="O40" s="1224"/>
      <c r="P40" s="1224">
        <f t="shared" si="3"/>
        <v>0</v>
      </c>
      <c r="Q40" s="1224">
        <f t="shared" si="4"/>
        <v>116298.93</v>
      </c>
    </row>
    <row r="41" spans="1:17" x14ac:dyDescent="0.35">
      <c r="A41" s="1225"/>
      <c r="B41" s="1225"/>
      <c r="C41" s="1216" t="s">
        <v>1337</v>
      </c>
      <c r="D41" s="1222">
        <v>47418.76</v>
      </c>
      <c r="E41" s="1222"/>
      <c r="F41" s="1223"/>
      <c r="H41" s="987">
        <v>0.65449999999999997</v>
      </c>
      <c r="I41" s="987">
        <v>0.34549999999999997</v>
      </c>
      <c r="J41" s="1224">
        <f t="shared" si="0"/>
        <v>47418.76</v>
      </c>
      <c r="K41" s="1224"/>
      <c r="L41" s="1213">
        <f t="shared" si="1"/>
        <v>47418.76</v>
      </c>
      <c r="N41" s="1224">
        <f t="shared" si="2"/>
        <v>0</v>
      </c>
      <c r="O41" s="1224"/>
      <c r="P41" s="1224">
        <f t="shared" si="3"/>
        <v>0</v>
      </c>
      <c r="Q41" s="1224">
        <f t="shared" si="4"/>
        <v>47418.76</v>
      </c>
    </row>
    <row r="42" spans="1:17" x14ac:dyDescent="0.35">
      <c r="A42" s="1225"/>
      <c r="B42" s="1225"/>
      <c r="C42" s="1216" t="s">
        <v>1338</v>
      </c>
      <c r="D42" s="1222">
        <v>5850.72</v>
      </c>
      <c r="E42" s="1222"/>
      <c r="F42" s="1223"/>
      <c r="H42" s="987">
        <v>0.65449999999999997</v>
      </c>
      <c r="I42" s="987">
        <v>0.34549999999999997</v>
      </c>
      <c r="J42" s="1224">
        <f t="shared" si="0"/>
        <v>5850.72</v>
      </c>
      <c r="K42" s="1224"/>
      <c r="L42" s="1213">
        <f t="shared" si="1"/>
        <v>5850.72</v>
      </c>
      <c r="N42" s="1224">
        <f t="shared" si="2"/>
        <v>0</v>
      </c>
      <c r="O42" s="1224"/>
      <c r="P42" s="1224">
        <f t="shared" si="3"/>
        <v>0</v>
      </c>
      <c r="Q42" s="1224">
        <f t="shared" si="4"/>
        <v>5850.72</v>
      </c>
    </row>
    <row r="43" spans="1:17" x14ac:dyDescent="0.35">
      <c r="A43" s="1225"/>
      <c r="B43" s="1225"/>
      <c r="C43" s="1216" t="s">
        <v>1339</v>
      </c>
      <c r="D43" s="1222">
        <v>202377.54</v>
      </c>
      <c r="E43" s="1222"/>
      <c r="F43" s="1223"/>
      <c r="H43" s="987">
        <v>0.65449999999999997</v>
      </c>
      <c r="I43" s="987">
        <v>0.34549999999999997</v>
      </c>
      <c r="J43" s="1224">
        <f t="shared" si="0"/>
        <v>202377.54</v>
      </c>
      <c r="K43" s="1224"/>
      <c r="L43" s="1213">
        <f t="shared" si="1"/>
        <v>202377.54</v>
      </c>
      <c r="N43" s="1224">
        <f t="shared" si="2"/>
        <v>0</v>
      </c>
      <c r="O43" s="1224"/>
      <c r="P43" s="1224">
        <f t="shared" si="3"/>
        <v>0</v>
      </c>
      <c r="Q43" s="1224">
        <f t="shared" si="4"/>
        <v>202377.54</v>
      </c>
    </row>
    <row r="44" spans="1:17" x14ac:dyDescent="0.35">
      <c r="A44" s="1225"/>
      <c r="B44" s="1225"/>
      <c r="C44" s="1216" t="s">
        <v>1340</v>
      </c>
      <c r="D44" s="1222">
        <v>101168.31</v>
      </c>
      <c r="E44" s="1222"/>
      <c r="F44" s="1223"/>
      <c r="H44" s="987">
        <v>0.65449999999999997</v>
      </c>
      <c r="I44" s="987">
        <v>0.34549999999999997</v>
      </c>
      <c r="J44" s="1224">
        <f t="shared" si="0"/>
        <v>101168.31</v>
      </c>
      <c r="K44" s="1224"/>
      <c r="L44" s="1213">
        <f t="shared" si="1"/>
        <v>101168.31</v>
      </c>
      <c r="N44" s="1224">
        <f t="shared" si="2"/>
        <v>0</v>
      </c>
      <c r="O44" s="1224"/>
      <c r="P44" s="1224">
        <f t="shared" si="3"/>
        <v>0</v>
      </c>
      <c r="Q44" s="1224">
        <f t="shared" si="4"/>
        <v>101168.31</v>
      </c>
    </row>
    <row r="45" spans="1:17" x14ac:dyDescent="0.35">
      <c r="A45" s="1225"/>
      <c r="B45" s="1225"/>
      <c r="C45" s="1216" t="s">
        <v>1341</v>
      </c>
      <c r="D45" s="1222">
        <v>109926.27</v>
      </c>
      <c r="E45" s="1222"/>
      <c r="F45" s="1223"/>
      <c r="H45" s="987">
        <v>0.65449999999999997</v>
      </c>
      <c r="I45" s="987">
        <v>0.34549999999999997</v>
      </c>
      <c r="J45" s="1224">
        <f t="shared" si="0"/>
        <v>109926.27</v>
      </c>
      <c r="K45" s="1224"/>
      <c r="L45" s="1213">
        <f t="shared" si="1"/>
        <v>109926.27</v>
      </c>
      <c r="N45" s="1224">
        <f t="shared" si="2"/>
        <v>0</v>
      </c>
      <c r="O45" s="1224"/>
      <c r="P45" s="1224">
        <f t="shared" si="3"/>
        <v>0</v>
      </c>
      <c r="Q45" s="1224">
        <f t="shared" si="4"/>
        <v>109926.27</v>
      </c>
    </row>
    <row r="46" spans="1:17" x14ac:dyDescent="0.35">
      <c r="A46" s="1225"/>
      <c r="B46" s="1225"/>
      <c r="C46" s="1216" t="s">
        <v>1342</v>
      </c>
      <c r="D46" s="1222">
        <v>327809.02</v>
      </c>
      <c r="E46" s="1222"/>
      <c r="F46" s="1223"/>
      <c r="H46" s="987">
        <v>0.65449999999999997</v>
      </c>
      <c r="I46" s="987">
        <v>0.34549999999999997</v>
      </c>
      <c r="J46" s="1224">
        <f t="shared" si="0"/>
        <v>327809.02</v>
      </c>
      <c r="K46" s="1224"/>
      <c r="L46" s="1213">
        <f t="shared" si="1"/>
        <v>327809.02</v>
      </c>
      <c r="N46" s="1224">
        <f t="shared" si="2"/>
        <v>0</v>
      </c>
      <c r="O46" s="1224"/>
      <c r="P46" s="1224">
        <f t="shared" si="3"/>
        <v>0</v>
      </c>
      <c r="Q46" s="1224">
        <f t="shared" si="4"/>
        <v>327809.02</v>
      </c>
    </row>
    <row r="47" spans="1:17" x14ac:dyDescent="0.35">
      <c r="A47" s="1225"/>
      <c r="B47" s="1225"/>
      <c r="C47" s="1216" t="s">
        <v>1343</v>
      </c>
      <c r="D47" s="1222">
        <v>70435.78</v>
      </c>
      <c r="E47" s="1222"/>
      <c r="F47" s="1223"/>
      <c r="H47" s="987">
        <v>0.65449999999999997</v>
      </c>
      <c r="I47" s="987">
        <v>0.34549999999999997</v>
      </c>
      <c r="J47" s="1224">
        <f t="shared" si="0"/>
        <v>70435.78</v>
      </c>
      <c r="K47" s="1224"/>
      <c r="L47" s="1213">
        <f t="shared" si="1"/>
        <v>70435.78</v>
      </c>
      <c r="N47" s="1224">
        <f t="shared" si="2"/>
        <v>0</v>
      </c>
      <c r="O47" s="1224"/>
      <c r="P47" s="1224">
        <f t="shared" si="3"/>
        <v>0</v>
      </c>
      <c r="Q47" s="1224">
        <f t="shared" si="4"/>
        <v>70435.78</v>
      </c>
    </row>
    <row r="48" spans="1:17" x14ac:dyDescent="0.35">
      <c r="A48" s="1225"/>
      <c r="B48" s="1225"/>
      <c r="C48" s="1216" t="s">
        <v>1344</v>
      </c>
      <c r="D48" s="1222">
        <v>220044.96</v>
      </c>
      <c r="E48" s="1222"/>
      <c r="F48" s="1223"/>
      <c r="H48" s="987">
        <v>0.65449999999999997</v>
      </c>
      <c r="I48" s="987">
        <v>0.34549999999999997</v>
      </c>
      <c r="J48" s="1224">
        <f t="shared" si="0"/>
        <v>220044.96</v>
      </c>
      <c r="K48" s="1224"/>
      <c r="L48" s="1213">
        <f t="shared" si="1"/>
        <v>220044.96</v>
      </c>
      <c r="N48" s="1224">
        <f t="shared" si="2"/>
        <v>0</v>
      </c>
      <c r="O48" s="1224"/>
      <c r="P48" s="1224">
        <f t="shared" si="3"/>
        <v>0</v>
      </c>
      <c r="Q48" s="1224">
        <f t="shared" si="4"/>
        <v>220044.96</v>
      </c>
    </row>
    <row r="49" spans="1:17" x14ac:dyDescent="0.35">
      <c r="A49" s="1225"/>
      <c r="B49" s="1225"/>
      <c r="C49" s="1216" t="s">
        <v>1345</v>
      </c>
      <c r="D49" s="1222">
        <v>413027.49</v>
      </c>
      <c r="E49" s="1222"/>
      <c r="F49" s="1223"/>
      <c r="H49" s="987">
        <v>0.65449999999999997</v>
      </c>
      <c r="I49" s="987">
        <v>0.34549999999999997</v>
      </c>
      <c r="J49" s="1224">
        <f t="shared" si="0"/>
        <v>413027.49</v>
      </c>
      <c r="K49" s="1224"/>
      <c r="L49" s="1213">
        <f t="shared" si="1"/>
        <v>413027.49</v>
      </c>
      <c r="N49" s="1224">
        <f t="shared" si="2"/>
        <v>0</v>
      </c>
      <c r="O49" s="1224"/>
      <c r="P49" s="1224">
        <f t="shared" si="3"/>
        <v>0</v>
      </c>
      <c r="Q49" s="1224">
        <f t="shared" si="4"/>
        <v>413027.49</v>
      </c>
    </row>
    <row r="50" spans="1:17" x14ac:dyDescent="0.35">
      <c r="A50" s="1225"/>
      <c r="B50" s="1225"/>
      <c r="C50" s="1216" t="s">
        <v>1346</v>
      </c>
      <c r="D50" s="1222">
        <v>801480.31</v>
      </c>
      <c r="E50" s="1222"/>
      <c r="F50" s="1223"/>
      <c r="H50" s="987">
        <v>0.65449999999999997</v>
      </c>
      <c r="I50" s="987">
        <v>0.34549999999999997</v>
      </c>
      <c r="J50" s="1224">
        <f t="shared" si="0"/>
        <v>801480.31</v>
      </c>
      <c r="K50" s="1224"/>
      <c r="L50" s="1213">
        <f t="shared" si="1"/>
        <v>801480.31</v>
      </c>
      <c r="N50" s="1224">
        <f t="shared" si="2"/>
        <v>0</v>
      </c>
      <c r="O50" s="1224"/>
      <c r="P50" s="1224">
        <f t="shared" si="3"/>
        <v>0</v>
      </c>
      <c r="Q50" s="1224">
        <f t="shared" si="4"/>
        <v>801480.31</v>
      </c>
    </row>
    <row r="51" spans="1:17" x14ac:dyDescent="0.35">
      <c r="A51" s="1225"/>
      <c r="B51" s="1225"/>
      <c r="C51" s="1216" t="s">
        <v>1347</v>
      </c>
      <c r="D51" s="1222">
        <v>5476.69</v>
      </c>
      <c r="E51" s="1222"/>
      <c r="F51" s="1223"/>
      <c r="H51" s="987">
        <v>0.65449999999999997</v>
      </c>
      <c r="I51" s="987">
        <v>0.34549999999999997</v>
      </c>
      <c r="J51" s="1224">
        <f t="shared" si="0"/>
        <v>5476.69</v>
      </c>
      <c r="K51" s="1224"/>
      <c r="L51" s="1213">
        <f t="shared" si="1"/>
        <v>5476.69</v>
      </c>
      <c r="N51" s="1224">
        <f t="shared" si="2"/>
        <v>0</v>
      </c>
      <c r="O51" s="1224"/>
      <c r="P51" s="1224">
        <f t="shared" si="3"/>
        <v>0</v>
      </c>
      <c r="Q51" s="1224">
        <f t="shared" si="4"/>
        <v>5476.69</v>
      </c>
    </row>
    <row r="52" spans="1:17" x14ac:dyDescent="0.35">
      <c r="A52" s="1225"/>
      <c r="B52" s="1225"/>
      <c r="C52" s="1216" t="s">
        <v>1348</v>
      </c>
      <c r="D52" s="1222">
        <v>2013.53</v>
      </c>
      <c r="E52" s="1222"/>
      <c r="F52" s="1223"/>
      <c r="H52" s="987">
        <v>0.65449999999999997</v>
      </c>
      <c r="I52" s="987">
        <v>0.34549999999999997</v>
      </c>
      <c r="J52" s="1224">
        <f t="shared" si="0"/>
        <v>2013.53</v>
      </c>
      <c r="K52" s="1224"/>
      <c r="L52" s="1213">
        <f t="shared" si="1"/>
        <v>2013.53</v>
      </c>
      <c r="N52" s="1224">
        <f t="shared" si="2"/>
        <v>0</v>
      </c>
      <c r="O52" s="1224"/>
      <c r="P52" s="1224">
        <f t="shared" si="3"/>
        <v>0</v>
      </c>
      <c r="Q52" s="1224">
        <f t="shared" si="4"/>
        <v>2013.53</v>
      </c>
    </row>
    <row r="53" spans="1:17" x14ac:dyDescent="0.35">
      <c r="A53" s="1225"/>
      <c r="B53" s="1225"/>
      <c r="C53" s="1216" t="s">
        <v>1349</v>
      </c>
      <c r="D53" s="1222">
        <v>88731.48</v>
      </c>
      <c r="E53" s="1222"/>
      <c r="F53" s="1223"/>
      <c r="H53" s="987">
        <v>0.65449999999999997</v>
      </c>
      <c r="I53" s="987">
        <v>0.34549999999999997</v>
      </c>
      <c r="J53" s="1224">
        <f t="shared" si="0"/>
        <v>88731.48</v>
      </c>
      <c r="K53" s="1224"/>
      <c r="L53" s="1213">
        <f t="shared" si="1"/>
        <v>88731.48</v>
      </c>
      <c r="N53" s="1224">
        <f t="shared" si="2"/>
        <v>0</v>
      </c>
      <c r="O53" s="1224"/>
      <c r="P53" s="1224">
        <f t="shared" si="3"/>
        <v>0</v>
      </c>
      <c r="Q53" s="1224">
        <f t="shared" si="4"/>
        <v>88731.48</v>
      </c>
    </row>
    <row r="54" spans="1:17" x14ac:dyDescent="0.35">
      <c r="A54" s="1225"/>
      <c r="B54" s="1225"/>
      <c r="C54" s="1216" t="s">
        <v>1350</v>
      </c>
      <c r="D54" s="1222">
        <v>364999.65</v>
      </c>
      <c r="E54" s="1222"/>
      <c r="F54" s="1223"/>
      <c r="H54" s="987">
        <v>0.65449999999999997</v>
      </c>
      <c r="I54" s="987">
        <v>0.34549999999999997</v>
      </c>
      <c r="J54" s="1224">
        <f t="shared" si="0"/>
        <v>364999.65</v>
      </c>
      <c r="K54" s="1224"/>
      <c r="L54" s="1213">
        <f t="shared" si="1"/>
        <v>364999.65</v>
      </c>
      <c r="N54" s="1224">
        <f t="shared" si="2"/>
        <v>0</v>
      </c>
      <c r="O54" s="1224"/>
      <c r="P54" s="1224">
        <f t="shared" si="3"/>
        <v>0</v>
      </c>
      <c r="Q54" s="1224">
        <f t="shared" si="4"/>
        <v>364999.65</v>
      </c>
    </row>
    <row r="55" spans="1:17" x14ac:dyDescent="0.35">
      <c r="A55" s="1225"/>
      <c r="B55" s="1225"/>
      <c r="C55" s="1216" t="s">
        <v>1351</v>
      </c>
      <c r="D55" s="1222">
        <v>179529.08</v>
      </c>
      <c r="E55" s="1222"/>
      <c r="F55" s="1223"/>
      <c r="H55" s="987">
        <v>0.65449999999999997</v>
      </c>
      <c r="I55" s="987">
        <v>0.34549999999999997</v>
      </c>
      <c r="J55" s="1224">
        <f t="shared" si="0"/>
        <v>179529.08</v>
      </c>
      <c r="K55" s="1224"/>
      <c r="L55" s="1213">
        <f t="shared" si="1"/>
        <v>179529.08</v>
      </c>
      <c r="N55" s="1224">
        <f t="shared" si="2"/>
        <v>0</v>
      </c>
      <c r="O55" s="1224"/>
      <c r="P55" s="1224">
        <f t="shared" si="3"/>
        <v>0</v>
      </c>
      <c r="Q55" s="1224">
        <f t="shared" si="4"/>
        <v>179529.08</v>
      </c>
    </row>
    <row r="56" spans="1:17" x14ac:dyDescent="0.35">
      <c r="A56" s="1225"/>
      <c r="B56" s="1225"/>
      <c r="C56" s="1216" t="s">
        <v>1352</v>
      </c>
      <c r="D56" s="1222">
        <v>6481.11</v>
      </c>
      <c r="E56" s="1222"/>
      <c r="F56" s="1223"/>
      <c r="H56" s="987">
        <v>0.65449999999999997</v>
      </c>
      <c r="I56" s="987">
        <v>0.34549999999999997</v>
      </c>
      <c r="J56" s="1224">
        <f t="shared" si="0"/>
        <v>6481.11</v>
      </c>
      <c r="K56" s="1224"/>
      <c r="L56" s="1213">
        <f t="shared" si="1"/>
        <v>6481.11</v>
      </c>
      <c r="N56" s="1224">
        <f t="shared" si="2"/>
        <v>0</v>
      </c>
      <c r="O56" s="1224"/>
      <c r="P56" s="1224">
        <f t="shared" si="3"/>
        <v>0</v>
      </c>
      <c r="Q56" s="1224">
        <f t="shared" si="4"/>
        <v>6481.11</v>
      </c>
    </row>
    <row r="57" spans="1:17" x14ac:dyDescent="0.35">
      <c r="A57" s="1225"/>
      <c r="B57" s="1225"/>
      <c r="C57" s="1216" t="s">
        <v>1353</v>
      </c>
      <c r="D57" s="1222">
        <v>22385.19</v>
      </c>
      <c r="E57" s="1222"/>
      <c r="F57" s="1223"/>
      <c r="H57" s="987">
        <v>0.65449999999999997</v>
      </c>
      <c r="I57" s="987">
        <v>0.34549999999999997</v>
      </c>
      <c r="J57" s="1224">
        <f t="shared" si="0"/>
        <v>22385.19</v>
      </c>
      <c r="K57" s="1224"/>
      <c r="L57" s="1213">
        <f t="shared" si="1"/>
        <v>22385.19</v>
      </c>
      <c r="N57" s="1224">
        <f t="shared" si="2"/>
        <v>0</v>
      </c>
      <c r="O57" s="1224"/>
      <c r="P57" s="1224">
        <f t="shared" si="3"/>
        <v>0</v>
      </c>
      <c r="Q57" s="1224">
        <f t="shared" si="4"/>
        <v>22385.19</v>
      </c>
    </row>
    <row r="58" spans="1:17" x14ac:dyDescent="0.35">
      <c r="A58" s="1225"/>
      <c r="B58" s="1225"/>
      <c r="C58" s="1216" t="s">
        <v>1354</v>
      </c>
      <c r="D58" s="1222">
        <v>52760.959999999999</v>
      </c>
      <c r="E58" s="1222"/>
      <c r="F58" s="1223"/>
      <c r="H58" s="987">
        <v>0.65449999999999997</v>
      </c>
      <c r="I58" s="987">
        <v>0.34549999999999997</v>
      </c>
      <c r="J58" s="1224">
        <f t="shared" si="0"/>
        <v>52760.959999999999</v>
      </c>
      <c r="K58" s="1224"/>
      <c r="L58" s="1213">
        <f t="shared" si="1"/>
        <v>52760.959999999999</v>
      </c>
      <c r="N58" s="1224">
        <f t="shared" si="2"/>
        <v>0</v>
      </c>
      <c r="O58" s="1224"/>
      <c r="P58" s="1224">
        <f t="shared" si="3"/>
        <v>0</v>
      </c>
      <c r="Q58" s="1224">
        <f t="shared" si="4"/>
        <v>52760.959999999999</v>
      </c>
    </row>
    <row r="59" spans="1:17" x14ac:dyDescent="0.35">
      <c r="A59" s="1225"/>
      <c r="B59" s="1225"/>
      <c r="C59" s="1216" t="s">
        <v>1355</v>
      </c>
      <c r="D59" s="1222"/>
      <c r="E59" s="1222">
        <v>8105.98</v>
      </c>
      <c r="F59" s="1223"/>
      <c r="H59" s="987">
        <v>0.65449999999999997</v>
      </c>
      <c r="I59" s="987">
        <v>0.34549999999999997</v>
      </c>
      <c r="J59" s="1224">
        <f t="shared" si="0"/>
        <v>0</v>
      </c>
      <c r="K59" s="1224"/>
      <c r="L59" s="1213">
        <f t="shared" si="1"/>
        <v>0</v>
      </c>
      <c r="N59" s="1224">
        <f t="shared" si="2"/>
        <v>8105.98</v>
      </c>
      <c r="O59" s="1224"/>
      <c r="P59" s="1224">
        <f t="shared" si="3"/>
        <v>8105.98</v>
      </c>
      <c r="Q59" s="1224">
        <f t="shared" si="4"/>
        <v>0</v>
      </c>
    </row>
    <row r="60" spans="1:17" x14ac:dyDescent="0.35">
      <c r="A60" s="1225"/>
      <c r="B60" s="1225"/>
      <c r="C60" s="1216" t="s">
        <v>1356</v>
      </c>
      <c r="D60" s="1222"/>
      <c r="E60" s="1222">
        <v>28361.38</v>
      </c>
      <c r="F60" s="1223"/>
      <c r="H60" s="987">
        <v>0.65449999999999997</v>
      </c>
      <c r="I60" s="987">
        <v>0.34549999999999997</v>
      </c>
      <c r="J60" s="1224">
        <f t="shared" si="0"/>
        <v>0</v>
      </c>
      <c r="K60" s="1224"/>
      <c r="L60" s="1213">
        <f t="shared" si="1"/>
        <v>0</v>
      </c>
      <c r="N60" s="1224">
        <f t="shared" si="2"/>
        <v>28361.38</v>
      </c>
      <c r="O60" s="1224"/>
      <c r="P60" s="1224">
        <f t="shared" si="3"/>
        <v>28361.38</v>
      </c>
      <c r="Q60" s="1224">
        <f t="shared" si="4"/>
        <v>0</v>
      </c>
    </row>
    <row r="61" spans="1:17" x14ac:dyDescent="0.35">
      <c r="A61" s="1225"/>
      <c r="B61" s="1225"/>
      <c r="C61" s="1216" t="s">
        <v>1357</v>
      </c>
      <c r="D61" s="1222"/>
      <c r="E61" s="1222">
        <v>188448.7</v>
      </c>
      <c r="F61" s="1223"/>
      <c r="H61" s="987">
        <v>0.65449999999999997</v>
      </c>
      <c r="I61" s="987">
        <v>0.34549999999999997</v>
      </c>
      <c r="J61" s="1224">
        <f t="shared" si="0"/>
        <v>0</v>
      </c>
      <c r="K61" s="1224"/>
      <c r="L61" s="1213">
        <f t="shared" si="1"/>
        <v>0</v>
      </c>
      <c r="N61" s="1224">
        <f t="shared" si="2"/>
        <v>188448.7</v>
      </c>
      <c r="O61" s="1224"/>
      <c r="P61" s="1224">
        <f t="shared" si="3"/>
        <v>188448.7</v>
      </c>
      <c r="Q61" s="1224">
        <f t="shared" si="4"/>
        <v>0</v>
      </c>
    </row>
    <row r="62" spans="1:17" x14ac:dyDescent="0.35">
      <c r="A62" s="1225"/>
      <c r="B62" s="1225"/>
      <c r="C62" s="1216" t="s">
        <v>1358</v>
      </c>
      <c r="D62" s="1222"/>
      <c r="E62" s="1222">
        <v>25575.54</v>
      </c>
      <c r="F62" s="1223"/>
      <c r="H62" s="987">
        <v>0.65449999999999997</v>
      </c>
      <c r="I62" s="987">
        <v>0.34549999999999997</v>
      </c>
      <c r="J62" s="1224">
        <f t="shared" si="0"/>
        <v>0</v>
      </c>
      <c r="K62" s="1224"/>
      <c r="L62" s="1213">
        <f t="shared" si="1"/>
        <v>0</v>
      </c>
      <c r="N62" s="1224">
        <f t="shared" si="2"/>
        <v>25575.54</v>
      </c>
      <c r="O62" s="1224"/>
      <c r="P62" s="1224">
        <f t="shared" si="3"/>
        <v>25575.54</v>
      </c>
      <c r="Q62" s="1224">
        <f t="shared" si="4"/>
        <v>0</v>
      </c>
    </row>
    <row r="63" spans="1:17" x14ac:dyDescent="0.35">
      <c r="A63" s="1225"/>
      <c r="B63" s="1225"/>
      <c r="C63" s="1216" t="s">
        <v>1359</v>
      </c>
      <c r="D63" s="1222"/>
      <c r="E63" s="1222">
        <v>14102.23</v>
      </c>
      <c r="F63" s="1223"/>
      <c r="H63" s="987">
        <v>0.65449999999999997</v>
      </c>
      <c r="I63" s="987">
        <v>0.34549999999999997</v>
      </c>
      <c r="J63" s="1224">
        <f t="shared" si="0"/>
        <v>0</v>
      </c>
      <c r="K63" s="1224"/>
      <c r="L63" s="1213">
        <f t="shared" si="1"/>
        <v>0</v>
      </c>
      <c r="N63" s="1224">
        <f t="shared" si="2"/>
        <v>14102.23</v>
      </c>
      <c r="O63" s="1224"/>
      <c r="P63" s="1224">
        <f t="shared" si="3"/>
        <v>14102.23</v>
      </c>
      <c r="Q63" s="1224">
        <f t="shared" si="4"/>
        <v>0</v>
      </c>
    </row>
    <row r="64" spans="1:17" x14ac:dyDescent="0.35">
      <c r="A64" s="1225"/>
      <c r="B64" s="1225"/>
      <c r="C64" s="1216" t="s">
        <v>1360</v>
      </c>
      <c r="D64" s="1222"/>
      <c r="E64" s="1222">
        <v>16186.84</v>
      </c>
      <c r="F64" s="1223"/>
      <c r="H64" s="987">
        <v>0.65449999999999997</v>
      </c>
      <c r="I64" s="987">
        <v>0.34549999999999997</v>
      </c>
      <c r="J64" s="1224">
        <f t="shared" si="0"/>
        <v>0</v>
      </c>
      <c r="K64" s="1224"/>
      <c r="L64" s="1213">
        <f t="shared" si="1"/>
        <v>0</v>
      </c>
      <c r="N64" s="1224">
        <f t="shared" si="2"/>
        <v>16186.84</v>
      </c>
      <c r="O64" s="1224"/>
      <c r="P64" s="1224">
        <f t="shared" si="3"/>
        <v>16186.84</v>
      </c>
      <c r="Q64" s="1224">
        <f t="shared" si="4"/>
        <v>0</v>
      </c>
    </row>
    <row r="65" spans="1:17" x14ac:dyDescent="0.35">
      <c r="A65" s="1225"/>
      <c r="B65" s="1225"/>
      <c r="C65" s="1216" t="s">
        <v>1361</v>
      </c>
      <c r="D65" s="1222"/>
      <c r="E65" s="1222">
        <v>592.42999999999995</v>
      </c>
      <c r="F65" s="1223"/>
      <c r="H65" s="987">
        <v>0.65449999999999997</v>
      </c>
      <c r="I65" s="987">
        <v>0.34549999999999997</v>
      </c>
      <c r="J65" s="1224">
        <f t="shared" si="0"/>
        <v>0</v>
      </c>
      <c r="K65" s="1224"/>
      <c r="L65" s="1213">
        <f t="shared" si="1"/>
        <v>0</v>
      </c>
      <c r="N65" s="1224">
        <f t="shared" si="2"/>
        <v>592.42999999999995</v>
      </c>
      <c r="O65" s="1224"/>
      <c r="P65" s="1224">
        <f t="shared" si="3"/>
        <v>592.42999999999995</v>
      </c>
      <c r="Q65" s="1224">
        <f t="shared" si="4"/>
        <v>0</v>
      </c>
    </row>
    <row r="66" spans="1:17" x14ac:dyDescent="0.35">
      <c r="A66" s="1225"/>
      <c r="B66" s="1225"/>
      <c r="C66" s="1216" t="s">
        <v>1362</v>
      </c>
      <c r="D66" s="1222"/>
      <c r="E66" s="1222">
        <v>13415.74</v>
      </c>
      <c r="F66" s="1223"/>
      <c r="H66" s="987">
        <v>0.65449999999999997</v>
      </c>
      <c r="I66" s="987">
        <v>0.34549999999999997</v>
      </c>
      <c r="J66" s="1224">
        <f t="shared" si="0"/>
        <v>0</v>
      </c>
      <c r="K66" s="1224"/>
      <c r="L66" s="1213">
        <f t="shared" si="1"/>
        <v>0</v>
      </c>
      <c r="N66" s="1224">
        <f t="shared" si="2"/>
        <v>13415.74</v>
      </c>
      <c r="O66" s="1224"/>
      <c r="P66" s="1224">
        <f t="shared" si="3"/>
        <v>13415.74</v>
      </c>
      <c r="Q66" s="1224">
        <f t="shared" si="4"/>
        <v>0</v>
      </c>
    </row>
    <row r="67" spans="1:17" x14ac:dyDescent="0.35">
      <c r="A67" s="1225"/>
      <c r="B67" s="1225"/>
      <c r="C67" s="1216" t="s">
        <v>1363</v>
      </c>
      <c r="D67" s="1222"/>
      <c r="E67" s="1222">
        <v>773.98</v>
      </c>
      <c r="F67" s="1223"/>
      <c r="H67" s="987">
        <v>0.65449999999999997</v>
      </c>
      <c r="I67" s="987">
        <v>0.34549999999999997</v>
      </c>
      <c r="J67" s="1224">
        <f t="shared" si="0"/>
        <v>0</v>
      </c>
      <c r="K67" s="1224"/>
      <c r="L67" s="1213">
        <f t="shared" si="1"/>
        <v>0</v>
      </c>
      <c r="N67" s="1224">
        <f t="shared" si="2"/>
        <v>773.98</v>
      </c>
      <c r="O67" s="1224"/>
      <c r="P67" s="1224">
        <f t="shared" si="3"/>
        <v>773.98</v>
      </c>
      <c r="Q67" s="1224">
        <f t="shared" si="4"/>
        <v>0</v>
      </c>
    </row>
    <row r="68" spans="1:17" x14ac:dyDescent="0.35">
      <c r="A68" s="1225"/>
      <c r="B68" s="1225"/>
      <c r="C68" s="1216" t="s">
        <v>1364</v>
      </c>
      <c r="D68" s="1222"/>
      <c r="E68" s="1222">
        <v>1500.68</v>
      </c>
      <c r="F68" s="1223"/>
      <c r="H68" s="987">
        <v>0.65449999999999997</v>
      </c>
      <c r="I68" s="987">
        <v>0.34549999999999997</v>
      </c>
      <c r="J68" s="1224">
        <f t="shared" ref="J68:J113" si="5">D68+$F68*H68</f>
        <v>0</v>
      </c>
      <c r="K68" s="1224"/>
      <c r="L68" s="1213">
        <f t="shared" ref="L68:L113" si="6">SUM(J68:K68)</f>
        <v>0</v>
      </c>
      <c r="N68" s="1224">
        <f t="shared" ref="N68:N113" si="7">E68+$F68*I68</f>
        <v>1500.68</v>
      </c>
      <c r="O68" s="1224"/>
      <c r="P68" s="1224">
        <f t="shared" ref="P68:P114" si="8">SUM(N68:O68)</f>
        <v>1500.68</v>
      </c>
      <c r="Q68" s="1224">
        <f t="shared" ref="Q68:Q113" si="9">SUM(L68,O68)</f>
        <v>0</v>
      </c>
    </row>
    <row r="69" spans="1:17" x14ac:dyDescent="0.35">
      <c r="A69" s="1225"/>
      <c r="B69" s="1225"/>
      <c r="C69" s="1216" t="s">
        <v>1365</v>
      </c>
      <c r="D69" s="1222"/>
      <c r="E69" s="1222">
        <v>597.19000000000005</v>
      </c>
      <c r="F69" s="1223"/>
      <c r="H69" s="987">
        <v>0.65449999999999997</v>
      </c>
      <c r="I69" s="987">
        <v>0.34549999999999997</v>
      </c>
      <c r="J69" s="1224">
        <f t="shared" si="5"/>
        <v>0</v>
      </c>
      <c r="K69" s="1224"/>
      <c r="L69" s="1213">
        <f t="shared" si="6"/>
        <v>0</v>
      </c>
      <c r="N69" s="1224">
        <f t="shared" si="7"/>
        <v>597.19000000000005</v>
      </c>
      <c r="O69" s="1224"/>
      <c r="P69" s="1224">
        <f t="shared" si="8"/>
        <v>597.19000000000005</v>
      </c>
      <c r="Q69" s="1224">
        <f t="shared" si="9"/>
        <v>0</v>
      </c>
    </row>
    <row r="70" spans="1:17" x14ac:dyDescent="0.35">
      <c r="A70" s="1225"/>
      <c r="B70" s="1225"/>
      <c r="C70" s="1216" t="s">
        <v>1366</v>
      </c>
      <c r="D70" s="1222"/>
      <c r="E70" s="1222">
        <v>11812.47</v>
      </c>
      <c r="F70" s="1223"/>
      <c r="H70" s="987">
        <v>0.65449999999999997</v>
      </c>
      <c r="I70" s="987">
        <v>0.34549999999999997</v>
      </c>
      <c r="J70" s="1224">
        <f t="shared" si="5"/>
        <v>0</v>
      </c>
      <c r="K70" s="1224"/>
      <c r="L70" s="1213">
        <f t="shared" si="6"/>
        <v>0</v>
      </c>
      <c r="N70" s="1224">
        <f t="shared" si="7"/>
        <v>11812.47</v>
      </c>
      <c r="O70" s="1224"/>
      <c r="P70" s="1224">
        <f t="shared" si="8"/>
        <v>11812.47</v>
      </c>
      <c r="Q70" s="1224">
        <f t="shared" si="9"/>
        <v>0</v>
      </c>
    </row>
    <row r="71" spans="1:17" x14ac:dyDescent="0.35">
      <c r="A71" s="1225"/>
      <c r="B71" s="1225"/>
      <c r="C71" s="1216" t="s">
        <v>1367</v>
      </c>
      <c r="D71" s="1222"/>
      <c r="E71" s="1222">
        <v>253.26</v>
      </c>
      <c r="F71" s="1223"/>
      <c r="H71" s="987">
        <v>0.65449999999999997</v>
      </c>
      <c r="I71" s="987">
        <v>0.34549999999999997</v>
      </c>
      <c r="J71" s="1224">
        <f t="shared" si="5"/>
        <v>0</v>
      </c>
      <c r="K71" s="1224"/>
      <c r="L71" s="1213">
        <f t="shared" si="6"/>
        <v>0</v>
      </c>
      <c r="N71" s="1224">
        <f t="shared" si="7"/>
        <v>253.26</v>
      </c>
      <c r="O71" s="1224"/>
      <c r="P71" s="1224">
        <f t="shared" si="8"/>
        <v>253.26</v>
      </c>
      <c r="Q71" s="1224">
        <f t="shared" si="9"/>
        <v>0</v>
      </c>
    </row>
    <row r="72" spans="1:17" x14ac:dyDescent="0.35">
      <c r="A72" s="1225"/>
      <c r="B72" s="1225"/>
      <c r="C72" s="1216" t="s">
        <v>1368</v>
      </c>
      <c r="D72" s="1222"/>
      <c r="E72" s="1222">
        <v>479.98</v>
      </c>
      <c r="F72" s="1223"/>
      <c r="H72" s="987">
        <v>0.65449999999999997</v>
      </c>
      <c r="I72" s="987">
        <v>0.34549999999999997</v>
      </c>
      <c r="J72" s="1224">
        <f t="shared" si="5"/>
        <v>0</v>
      </c>
      <c r="K72" s="1224"/>
      <c r="L72" s="1213">
        <f t="shared" si="6"/>
        <v>0</v>
      </c>
      <c r="N72" s="1224">
        <f t="shared" si="7"/>
        <v>479.98</v>
      </c>
      <c r="O72" s="1224"/>
      <c r="P72" s="1224">
        <f t="shared" si="8"/>
        <v>479.98</v>
      </c>
      <c r="Q72" s="1224">
        <f t="shared" si="9"/>
        <v>0</v>
      </c>
    </row>
    <row r="73" spans="1:17" x14ac:dyDescent="0.35">
      <c r="A73" s="1225"/>
      <c r="B73" s="1225"/>
      <c r="C73" s="1216" t="s">
        <v>1369</v>
      </c>
      <c r="D73" s="1222"/>
      <c r="E73" s="1222">
        <v>182.66</v>
      </c>
      <c r="F73" s="1223"/>
      <c r="H73" s="987">
        <v>0.65449999999999997</v>
      </c>
      <c r="I73" s="987">
        <v>0.34549999999999997</v>
      </c>
      <c r="J73" s="1224">
        <f t="shared" si="5"/>
        <v>0</v>
      </c>
      <c r="K73" s="1224"/>
      <c r="L73" s="1213">
        <f t="shared" si="6"/>
        <v>0</v>
      </c>
      <c r="N73" s="1224">
        <f t="shared" si="7"/>
        <v>182.66</v>
      </c>
      <c r="O73" s="1224"/>
      <c r="P73" s="1224">
        <f t="shared" si="8"/>
        <v>182.66</v>
      </c>
      <c r="Q73" s="1224">
        <f t="shared" si="9"/>
        <v>0</v>
      </c>
    </row>
    <row r="74" spans="1:17" x14ac:dyDescent="0.35">
      <c r="A74" s="1225"/>
      <c r="B74" s="1225"/>
      <c r="C74" s="1216" t="s">
        <v>1370</v>
      </c>
      <c r="D74" s="1222"/>
      <c r="E74" s="1222">
        <v>55.6</v>
      </c>
      <c r="F74" s="1223"/>
      <c r="H74" s="987">
        <v>0.65449999999999997</v>
      </c>
      <c r="I74" s="987">
        <v>0.34549999999999997</v>
      </c>
      <c r="J74" s="1224">
        <f t="shared" si="5"/>
        <v>0</v>
      </c>
      <c r="K74" s="1224"/>
      <c r="L74" s="1213">
        <f t="shared" si="6"/>
        <v>0</v>
      </c>
      <c r="N74" s="1224">
        <f t="shared" si="7"/>
        <v>55.6</v>
      </c>
      <c r="O74" s="1224"/>
      <c r="P74" s="1224">
        <f t="shared" si="8"/>
        <v>55.6</v>
      </c>
      <c r="Q74" s="1224">
        <f t="shared" si="9"/>
        <v>0</v>
      </c>
    </row>
    <row r="75" spans="1:17" x14ac:dyDescent="0.35">
      <c r="A75" s="1225"/>
      <c r="B75" s="1225"/>
      <c r="C75" s="1216" t="s">
        <v>1371</v>
      </c>
      <c r="D75" s="1222"/>
      <c r="E75" s="1222">
        <v>54702.16</v>
      </c>
      <c r="F75" s="1223"/>
      <c r="H75" s="987">
        <v>0.65449999999999997</v>
      </c>
      <c r="I75" s="987">
        <v>0.34549999999999997</v>
      </c>
      <c r="J75" s="1224">
        <f t="shared" si="5"/>
        <v>0</v>
      </c>
      <c r="K75" s="1224"/>
      <c r="L75" s="1213">
        <f t="shared" si="6"/>
        <v>0</v>
      </c>
      <c r="N75" s="1224">
        <f t="shared" si="7"/>
        <v>54702.16</v>
      </c>
      <c r="O75" s="1224"/>
      <c r="P75" s="1224">
        <f t="shared" si="8"/>
        <v>54702.16</v>
      </c>
      <c r="Q75" s="1224">
        <f t="shared" si="9"/>
        <v>0</v>
      </c>
    </row>
    <row r="76" spans="1:17" x14ac:dyDescent="0.35">
      <c r="A76" s="1225"/>
      <c r="B76" s="1225"/>
      <c r="C76" s="1216" t="s">
        <v>1372</v>
      </c>
      <c r="D76" s="1222"/>
      <c r="E76" s="1222">
        <v>5650.01</v>
      </c>
      <c r="F76" s="1223"/>
      <c r="H76" s="987">
        <v>0.65449999999999997</v>
      </c>
      <c r="I76" s="987">
        <v>0.34549999999999997</v>
      </c>
      <c r="J76" s="1224">
        <f t="shared" si="5"/>
        <v>0</v>
      </c>
      <c r="K76" s="1224"/>
      <c r="L76" s="1213">
        <f t="shared" si="6"/>
        <v>0</v>
      </c>
      <c r="N76" s="1224">
        <f t="shared" si="7"/>
        <v>5650.01</v>
      </c>
      <c r="O76" s="1224"/>
      <c r="P76" s="1224">
        <f t="shared" si="8"/>
        <v>5650.01</v>
      </c>
      <c r="Q76" s="1224">
        <f t="shared" si="9"/>
        <v>0</v>
      </c>
    </row>
    <row r="77" spans="1:17" x14ac:dyDescent="0.35">
      <c r="A77" s="1225"/>
      <c r="B77" s="1225"/>
      <c r="C77" s="1216" t="s">
        <v>1373</v>
      </c>
      <c r="D77" s="1222"/>
      <c r="E77" s="1222">
        <v>373.38</v>
      </c>
      <c r="F77" s="1223"/>
      <c r="H77" s="987">
        <v>0.65449999999999997</v>
      </c>
      <c r="I77" s="987">
        <v>0.34549999999999997</v>
      </c>
      <c r="J77" s="1224">
        <f t="shared" si="5"/>
        <v>0</v>
      </c>
      <c r="K77" s="1224"/>
      <c r="L77" s="1213">
        <f t="shared" si="6"/>
        <v>0</v>
      </c>
      <c r="N77" s="1224">
        <f t="shared" si="7"/>
        <v>373.38</v>
      </c>
      <c r="O77" s="1224"/>
      <c r="P77" s="1224">
        <f t="shared" si="8"/>
        <v>373.38</v>
      </c>
      <c r="Q77" s="1224">
        <f t="shared" si="9"/>
        <v>0</v>
      </c>
    </row>
    <row r="78" spans="1:17" x14ac:dyDescent="0.35">
      <c r="A78" s="1225"/>
      <c r="B78" s="1225"/>
      <c r="C78" s="1216" t="s">
        <v>1374</v>
      </c>
      <c r="D78" s="1222"/>
      <c r="E78" s="1222">
        <v>93794</v>
      </c>
      <c r="F78" s="1223"/>
      <c r="H78" s="987">
        <v>0.65449999999999997</v>
      </c>
      <c r="I78" s="987">
        <v>0.34549999999999997</v>
      </c>
      <c r="J78" s="1224">
        <f t="shared" si="5"/>
        <v>0</v>
      </c>
      <c r="K78" s="1224"/>
      <c r="L78" s="1213">
        <f t="shared" si="6"/>
        <v>0</v>
      </c>
      <c r="N78" s="1224">
        <f t="shared" si="7"/>
        <v>93794</v>
      </c>
      <c r="O78" s="1224"/>
      <c r="P78" s="1224">
        <f t="shared" si="8"/>
        <v>93794</v>
      </c>
      <c r="Q78" s="1224">
        <f t="shared" si="9"/>
        <v>0</v>
      </c>
    </row>
    <row r="79" spans="1:17" x14ac:dyDescent="0.35">
      <c r="A79" s="1225"/>
      <c r="B79" s="1225"/>
      <c r="C79" s="1216" t="s">
        <v>1375</v>
      </c>
      <c r="D79" s="1222"/>
      <c r="E79" s="1222">
        <v>25398.77</v>
      </c>
      <c r="F79" s="1223"/>
      <c r="H79" s="987">
        <v>0.65449999999999997</v>
      </c>
      <c r="I79" s="987">
        <v>0.34549999999999997</v>
      </c>
      <c r="J79" s="1224">
        <f t="shared" si="5"/>
        <v>0</v>
      </c>
      <c r="K79" s="1224"/>
      <c r="L79" s="1213">
        <f t="shared" si="6"/>
        <v>0</v>
      </c>
      <c r="N79" s="1224">
        <f t="shared" si="7"/>
        <v>25398.77</v>
      </c>
      <c r="O79" s="1224"/>
      <c r="P79" s="1224">
        <f t="shared" si="8"/>
        <v>25398.77</v>
      </c>
      <c r="Q79" s="1224">
        <f t="shared" si="9"/>
        <v>0</v>
      </c>
    </row>
    <row r="80" spans="1:17" x14ac:dyDescent="0.35">
      <c r="A80" s="1225"/>
      <c r="B80" s="1225"/>
      <c r="C80" s="1216" t="s">
        <v>1376</v>
      </c>
      <c r="D80" s="1222"/>
      <c r="E80" s="1222">
        <v>271374.08000000002</v>
      </c>
      <c r="F80" s="1223"/>
      <c r="H80" s="987">
        <v>0.65449999999999997</v>
      </c>
      <c r="I80" s="987">
        <v>0.34549999999999997</v>
      </c>
      <c r="J80" s="1224">
        <f t="shared" si="5"/>
        <v>0</v>
      </c>
      <c r="K80" s="1224"/>
      <c r="L80" s="1213">
        <f t="shared" si="6"/>
        <v>0</v>
      </c>
      <c r="N80" s="1224">
        <f t="shared" si="7"/>
        <v>271374.08000000002</v>
      </c>
      <c r="O80" s="1224"/>
      <c r="P80" s="1224">
        <f t="shared" si="8"/>
        <v>271374.08000000002</v>
      </c>
      <c r="Q80" s="1224">
        <f t="shared" si="9"/>
        <v>0</v>
      </c>
    </row>
    <row r="81" spans="1:17" x14ac:dyDescent="0.35">
      <c r="A81" s="1225"/>
      <c r="B81" s="1225"/>
      <c r="C81" s="1216" t="s">
        <v>1377</v>
      </c>
      <c r="D81" s="1222"/>
      <c r="E81" s="1222">
        <v>84022.87</v>
      </c>
      <c r="F81" s="1223"/>
      <c r="H81" s="987">
        <v>0.65449999999999997</v>
      </c>
      <c r="I81" s="987">
        <v>0.34549999999999997</v>
      </c>
      <c r="J81" s="1224">
        <f t="shared" si="5"/>
        <v>0</v>
      </c>
      <c r="K81" s="1224"/>
      <c r="L81" s="1213">
        <f t="shared" si="6"/>
        <v>0</v>
      </c>
      <c r="N81" s="1224">
        <f t="shared" si="7"/>
        <v>84022.87</v>
      </c>
      <c r="O81" s="1224"/>
      <c r="P81" s="1224">
        <f t="shared" si="8"/>
        <v>84022.87</v>
      </c>
      <c r="Q81" s="1224">
        <f t="shared" si="9"/>
        <v>0</v>
      </c>
    </row>
    <row r="82" spans="1:17" x14ac:dyDescent="0.35">
      <c r="A82" s="1225"/>
      <c r="B82" s="1225"/>
      <c r="C82" s="1216" t="s">
        <v>1378</v>
      </c>
      <c r="D82" s="1222"/>
      <c r="E82" s="1222">
        <v>64575.56</v>
      </c>
      <c r="F82" s="1223"/>
      <c r="H82" s="987">
        <v>0.65449999999999997</v>
      </c>
      <c r="I82" s="987">
        <v>0.34549999999999997</v>
      </c>
      <c r="J82" s="1224">
        <f t="shared" si="5"/>
        <v>0</v>
      </c>
      <c r="K82" s="1224"/>
      <c r="L82" s="1213">
        <f t="shared" si="6"/>
        <v>0</v>
      </c>
      <c r="N82" s="1224">
        <f t="shared" si="7"/>
        <v>64575.56</v>
      </c>
      <c r="O82" s="1224"/>
      <c r="P82" s="1224">
        <f t="shared" si="8"/>
        <v>64575.56</v>
      </c>
      <c r="Q82" s="1224">
        <f t="shared" si="9"/>
        <v>0</v>
      </c>
    </row>
    <row r="83" spans="1:17" x14ac:dyDescent="0.35">
      <c r="A83" s="1225"/>
      <c r="B83" s="1225"/>
      <c r="C83" s="1216" t="s">
        <v>1379</v>
      </c>
      <c r="D83" s="1222"/>
      <c r="E83" s="1222">
        <v>81074.12</v>
      </c>
      <c r="F83" s="1223"/>
      <c r="H83" s="987">
        <v>0.65449999999999997</v>
      </c>
      <c r="I83" s="987">
        <v>0.34549999999999997</v>
      </c>
      <c r="J83" s="1224">
        <f t="shared" si="5"/>
        <v>0</v>
      </c>
      <c r="K83" s="1224"/>
      <c r="L83" s="1213">
        <f t="shared" si="6"/>
        <v>0</v>
      </c>
      <c r="N83" s="1224">
        <f t="shared" si="7"/>
        <v>81074.12</v>
      </c>
      <c r="O83" s="1224"/>
      <c r="P83" s="1224">
        <f t="shared" si="8"/>
        <v>81074.12</v>
      </c>
      <c r="Q83" s="1224">
        <f t="shared" si="9"/>
        <v>0</v>
      </c>
    </row>
    <row r="84" spans="1:17" x14ac:dyDescent="0.35">
      <c r="A84" s="1225"/>
      <c r="B84" s="1225"/>
      <c r="C84" s="1216" t="s">
        <v>1380</v>
      </c>
      <c r="D84" s="1222"/>
      <c r="E84" s="1222">
        <v>134944.38</v>
      </c>
      <c r="F84" s="1223"/>
      <c r="H84" s="987">
        <v>0.65449999999999997</v>
      </c>
      <c r="I84" s="987">
        <v>0.34549999999999997</v>
      </c>
      <c r="J84" s="1224">
        <f t="shared" si="5"/>
        <v>0</v>
      </c>
      <c r="K84" s="1224"/>
      <c r="L84" s="1213">
        <f t="shared" si="6"/>
        <v>0</v>
      </c>
      <c r="N84" s="1224">
        <f t="shared" si="7"/>
        <v>134944.38</v>
      </c>
      <c r="O84" s="1224"/>
      <c r="P84" s="1224">
        <f t="shared" si="8"/>
        <v>134944.38</v>
      </c>
      <c r="Q84" s="1224">
        <f t="shared" si="9"/>
        <v>0</v>
      </c>
    </row>
    <row r="85" spans="1:17" x14ac:dyDescent="0.35">
      <c r="A85" s="1225"/>
      <c r="B85" s="1225"/>
      <c r="C85" s="1216" t="s">
        <v>1381</v>
      </c>
      <c r="D85" s="1222"/>
      <c r="E85" s="1222">
        <v>1005403.94</v>
      </c>
      <c r="F85" s="1223"/>
      <c r="H85" s="987">
        <v>0.65449999999999997</v>
      </c>
      <c r="I85" s="987">
        <v>0.34549999999999997</v>
      </c>
      <c r="J85" s="1224">
        <f t="shared" si="5"/>
        <v>0</v>
      </c>
      <c r="K85" s="1224"/>
      <c r="L85" s="1213">
        <f t="shared" si="6"/>
        <v>0</v>
      </c>
      <c r="N85" s="1224">
        <f t="shared" si="7"/>
        <v>1005403.94</v>
      </c>
      <c r="O85" s="1224"/>
      <c r="P85" s="1224">
        <f t="shared" si="8"/>
        <v>1005403.94</v>
      </c>
      <c r="Q85" s="1224">
        <f t="shared" si="9"/>
        <v>0</v>
      </c>
    </row>
    <row r="86" spans="1:17" x14ac:dyDescent="0.35">
      <c r="A86" s="1225"/>
      <c r="B86" s="1225"/>
      <c r="C86" s="1216" t="s">
        <v>1382</v>
      </c>
      <c r="D86" s="1222"/>
      <c r="E86" s="1222">
        <v>602.91999999999996</v>
      </c>
      <c r="F86" s="1223"/>
      <c r="H86" s="987">
        <v>0.65449999999999997</v>
      </c>
      <c r="I86" s="987">
        <v>0.34549999999999997</v>
      </c>
      <c r="J86" s="1224">
        <f t="shared" si="5"/>
        <v>0</v>
      </c>
      <c r="K86" s="1224"/>
      <c r="L86" s="1213">
        <f t="shared" si="6"/>
        <v>0</v>
      </c>
      <c r="N86" s="1224">
        <f t="shared" si="7"/>
        <v>602.91999999999996</v>
      </c>
      <c r="O86" s="1224"/>
      <c r="P86" s="1224">
        <f t="shared" si="8"/>
        <v>602.91999999999996</v>
      </c>
      <c r="Q86" s="1224">
        <f t="shared" si="9"/>
        <v>0</v>
      </c>
    </row>
    <row r="87" spans="1:17" x14ac:dyDescent="0.35">
      <c r="A87" s="1225"/>
      <c r="B87" s="1225"/>
      <c r="C87" s="1216" t="s">
        <v>1383</v>
      </c>
      <c r="D87" s="1222"/>
      <c r="E87" s="1222">
        <v>3493.07</v>
      </c>
      <c r="F87" s="1223"/>
      <c r="H87" s="987">
        <v>0.65449999999999997</v>
      </c>
      <c r="I87" s="987">
        <v>0.34549999999999997</v>
      </c>
      <c r="J87" s="1224">
        <f t="shared" si="5"/>
        <v>0</v>
      </c>
      <c r="K87" s="1224"/>
      <c r="L87" s="1213">
        <f t="shared" si="6"/>
        <v>0</v>
      </c>
      <c r="N87" s="1224">
        <f t="shared" si="7"/>
        <v>3493.07</v>
      </c>
      <c r="O87" s="1224"/>
      <c r="P87" s="1224">
        <f t="shared" si="8"/>
        <v>3493.07</v>
      </c>
      <c r="Q87" s="1224">
        <f t="shared" si="9"/>
        <v>0</v>
      </c>
    </row>
    <row r="88" spans="1:17" x14ac:dyDescent="0.35">
      <c r="A88" s="1225"/>
      <c r="B88" s="1225"/>
      <c r="C88" s="1216" t="s">
        <v>1384</v>
      </c>
      <c r="D88" s="1222"/>
      <c r="E88" s="1222">
        <v>2969.04</v>
      </c>
      <c r="F88" s="1223"/>
      <c r="H88" s="987">
        <v>0.65449999999999997</v>
      </c>
      <c r="I88" s="987">
        <v>0.34549999999999997</v>
      </c>
      <c r="J88" s="1224">
        <f t="shared" si="5"/>
        <v>0</v>
      </c>
      <c r="K88" s="1224"/>
      <c r="L88" s="1213">
        <f t="shared" si="6"/>
        <v>0</v>
      </c>
      <c r="N88" s="1224">
        <f t="shared" si="7"/>
        <v>2969.04</v>
      </c>
      <c r="O88" s="1224"/>
      <c r="P88" s="1224">
        <f t="shared" si="8"/>
        <v>2969.04</v>
      </c>
      <c r="Q88" s="1224">
        <f t="shared" si="9"/>
        <v>0</v>
      </c>
    </row>
    <row r="89" spans="1:17" x14ac:dyDescent="0.35">
      <c r="A89" s="1225"/>
      <c r="B89" s="1225"/>
      <c r="C89" s="1216" t="s">
        <v>1385</v>
      </c>
      <c r="D89" s="1222"/>
      <c r="E89" s="1222">
        <v>286484.58</v>
      </c>
      <c r="F89" s="1223"/>
      <c r="H89" s="987">
        <v>0.65449999999999997</v>
      </c>
      <c r="I89" s="987">
        <v>0.34549999999999997</v>
      </c>
      <c r="J89" s="1224">
        <f t="shared" si="5"/>
        <v>0</v>
      </c>
      <c r="K89" s="1224"/>
      <c r="L89" s="1213">
        <f t="shared" si="6"/>
        <v>0</v>
      </c>
      <c r="N89" s="1224">
        <f t="shared" si="7"/>
        <v>286484.58</v>
      </c>
      <c r="O89" s="1224"/>
      <c r="P89" s="1224">
        <f t="shared" si="8"/>
        <v>286484.58</v>
      </c>
      <c r="Q89" s="1224">
        <f t="shared" si="9"/>
        <v>0</v>
      </c>
    </row>
    <row r="90" spans="1:17" x14ac:dyDescent="0.35">
      <c r="A90" s="1225"/>
      <c r="B90" s="1225"/>
      <c r="C90" s="1216" t="s">
        <v>1386</v>
      </c>
      <c r="D90" s="1222"/>
      <c r="E90" s="1222">
        <v>55870.57</v>
      </c>
      <c r="F90" s="1223"/>
      <c r="H90" s="987">
        <v>0.65449999999999997</v>
      </c>
      <c r="I90" s="987">
        <v>0.34549999999999997</v>
      </c>
      <c r="J90" s="1224">
        <f t="shared" si="5"/>
        <v>0</v>
      </c>
      <c r="K90" s="1224"/>
      <c r="L90" s="1213">
        <f t="shared" si="6"/>
        <v>0</v>
      </c>
      <c r="N90" s="1224">
        <f t="shared" si="7"/>
        <v>55870.57</v>
      </c>
      <c r="O90" s="1224"/>
      <c r="P90" s="1224">
        <f t="shared" si="8"/>
        <v>55870.57</v>
      </c>
      <c r="Q90" s="1224">
        <f t="shared" si="9"/>
        <v>0</v>
      </c>
    </row>
    <row r="91" spans="1:17" x14ac:dyDescent="0.35">
      <c r="A91" s="1225"/>
      <c r="B91" s="1225"/>
      <c r="C91" s="1216" t="s">
        <v>1387</v>
      </c>
      <c r="D91" s="1222"/>
      <c r="E91" s="1222">
        <v>9634.94</v>
      </c>
      <c r="F91" s="1223"/>
      <c r="H91" s="987">
        <v>0.65449999999999997</v>
      </c>
      <c r="I91" s="987">
        <v>0.34549999999999997</v>
      </c>
      <c r="J91" s="1224">
        <f t="shared" si="5"/>
        <v>0</v>
      </c>
      <c r="K91" s="1224"/>
      <c r="L91" s="1213">
        <f t="shared" si="6"/>
        <v>0</v>
      </c>
      <c r="N91" s="1224">
        <f t="shared" si="7"/>
        <v>9634.94</v>
      </c>
      <c r="O91" s="1224"/>
      <c r="P91" s="1224">
        <f t="shared" si="8"/>
        <v>9634.94</v>
      </c>
      <c r="Q91" s="1224">
        <f t="shared" si="9"/>
        <v>0</v>
      </c>
    </row>
    <row r="92" spans="1:17" x14ac:dyDescent="0.35">
      <c r="A92" s="1225"/>
      <c r="B92" s="1225"/>
      <c r="C92" s="1216" t="s">
        <v>1388</v>
      </c>
      <c r="D92" s="1222"/>
      <c r="E92" s="1222">
        <v>75859.23</v>
      </c>
      <c r="F92" s="1223"/>
      <c r="H92" s="987">
        <v>0.65449999999999997</v>
      </c>
      <c r="I92" s="987">
        <v>0.34549999999999997</v>
      </c>
      <c r="J92" s="1224">
        <f t="shared" si="5"/>
        <v>0</v>
      </c>
      <c r="K92" s="1224"/>
      <c r="L92" s="1213">
        <f t="shared" si="6"/>
        <v>0</v>
      </c>
      <c r="N92" s="1224">
        <f t="shared" si="7"/>
        <v>75859.23</v>
      </c>
      <c r="O92" s="1224"/>
      <c r="P92" s="1224">
        <f t="shared" si="8"/>
        <v>75859.23</v>
      </c>
      <c r="Q92" s="1224">
        <f t="shared" si="9"/>
        <v>0</v>
      </c>
    </row>
    <row r="93" spans="1:17" x14ac:dyDescent="0.35">
      <c r="A93" s="1225"/>
      <c r="B93" s="1225"/>
      <c r="C93" s="1216" t="s">
        <v>1389</v>
      </c>
      <c r="D93" s="1222"/>
      <c r="E93" s="1222">
        <v>28943.86</v>
      </c>
      <c r="F93" s="1223"/>
      <c r="H93" s="987">
        <v>0.65449999999999997</v>
      </c>
      <c r="I93" s="987">
        <v>0.34549999999999997</v>
      </c>
      <c r="J93" s="1224">
        <f t="shared" si="5"/>
        <v>0</v>
      </c>
      <c r="K93" s="1224"/>
      <c r="L93" s="1213">
        <f t="shared" si="6"/>
        <v>0</v>
      </c>
      <c r="N93" s="1224">
        <f t="shared" si="7"/>
        <v>28943.86</v>
      </c>
      <c r="O93" s="1224"/>
      <c r="P93" s="1224">
        <f t="shared" si="8"/>
        <v>28943.86</v>
      </c>
      <c r="Q93" s="1224">
        <f t="shared" si="9"/>
        <v>0</v>
      </c>
    </row>
    <row r="94" spans="1:17" x14ac:dyDescent="0.35">
      <c r="A94" s="1225"/>
      <c r="B94" s="1225"/>
      <c r="C94" s="1216" t="s">
        <v>1390</v>
      </c>
      <c r="D94" s="1222"/>
      <c r="E94" s="1222">
        <v>20848.759999999998</v>
      </c>
      <c r="F94" s="1223"/>
      <c r="H94" s="987">
        <v>0.65449999999999997</v>
      </c>
      <c r="I94" s="987">
        <v>0.34549999999999997</v>
      </c>
      <c r="J94" s="1224">
        <f t="shared" si="5"/>
        <v>0</v>
      </c>
      <c r="K94" s="1224"/>
      <c r="L94" s="1213">
        <f t="shared" si="6"/>
        <v>0</v>
      </c>
      <c r="N94" s="1224">
        <f t="shared" si="7"/>
        <v>20848.759999999998</v>
      </c>
      <c r="O94" s="1224"/>
      <c r="P94" s="1224">
        <f t="shared" si="8"/>
        <v>20848.759999999998</v>
      </c>
      <c r="Q94" s="1224">
        <f t="shared" si="9"/>
        <v>0</v>
      </c>
    </row>
    <row r="95" spans="1:17" x14ac:dyDescent="0.35">
      <c r="A95" s="1225"/>
      <c r="B95" s="1225"/>
      <c r="C95" s="1216" t="s">
        <v>1391</v>
      </c>
      <c r="D95" s="1222">
        <v>0</v>
      </c>
      <c r="E95" s="1222">
        <v>0</v>
      </c>
      <c r="F95" s="1223">
        <v>16578</v>
      </c>
      <c r="H95" s="987">
        <v>0.65449999999999997</v>
      </c>
      <c r="I95" s="987">
        <v>0.34549999999999997</v>
      </c>
      <c r="J95" s="1224">
        <f t="shared" si="5"/>
        <v>10850.300999999999</v>
      </c>
      <c r="K95" s="1224"/>
      <c r="L95" s="1213">
        <f t="shared" si="6"/>
        <v>10850.300999999999</v>
      </c>
      <c r="N95" s="1224">
        <f t="shared" si="7"/>
        <v>5727.6989999999996</v>
      </c>
      <c r="O95" s="1224"/>
      <c r="P95" s="1224">
        <f t="shared" si="8"/>
        <v>5727.6989999999996</v>
      </c>
      <c r="Q95" s="1224">
        <f t="shared" si="9"/>
        <v>10850.300999999999</v>
      </c>
    </row>
    <row r="96" spans="1:17" x14ac:dyDescent="0.35">
      <c r="A96" s="1225"/>
      <c r="B96" s="1225"/>
      <c r="C96" s="1216" t="s">
        <v>1392</v>
      </c>
      <c r="D96" s="1222">
        <v>0</v>
      </c>
      <c r="E96" s="1222">
        <v>681.83</v>
      </c>
      <c r="F96" s="1223">
        <v>25817.75</v>
      </c>
      <c r="H96" s="987">
        <v>0.65449999999999997</v>
      </c>
      <c r="I96" s="987">
        <v>0.34549999999999997</v>
      </c>
      <c r="J96" s="1224">
        <f t="shared" si="5"/>
        <v>16897.717375</v>
      </c>
      <c r="K96" s="1224"/>
      <c r="L96" s="1213">
        <f t="shared" si="6"/>
        <v>16897.717375</v>
      </c>
      <c r="N96" s="1224">
        <f t="shared" si="7"/>
        <v>9601.8626249999998</v>
      </c>
      <c r="O96" s="1224"/>
      <c r="P96" s="1224">
        <f t="shared" si="8"/>
        <v>9601.8626249999998</v>
      </c>
      <c r="Q96" s="1224">
        <f t="shared" si="9"/>
        <v>16897.717375</v>
      </c>
    </row>
    <row r="97" spans="1:17" x14ac:dyDescent="0.35">
      <c r="A97" s="1225"/>
      <c r="B97" s="1225"/>
      <c r="C97" s="1216" t="s">
        <v>1393</v>
      </c>
      <c r="D97" s="1222">
        <v>4450.74</v>
      </c>
      <c r="E97" s="1222"/>
      <c r="F97" s="1223"/>
      <c r="H97" s="987">
        <v>0.65449999999999997</v>
      </c>
      <c r="I97" s="987">
        <v>0.34549999999999997</v>
      </c>
      <c r="J97" s="1224">
        <f t="shared" si="5"/>
        <v>4450.74</v>
      </c>
      <c r="K97" s="1224"/>
      <c r="L97" s="1213">
        <f t="shared" si="6"/>
        <v>4450.74</v>
      </c>
      <c r="N97" s="1224">
        <f t="shared" si="7"/>
        <v>0</v>
      </c>
      <c r="O97" s="1224"/>
      <c r="P97" s="1224">
        <f t="shared" si="8"/>
        <v>0</v>
      </c>
      <c r="Q97" s="1224">
        <f t="shared" si="9"/>
        <v>4450.74</v>
      </c>
    </row>
    <row r="98" spans="1:17" x14ac:dyDescent="0.35">
      <c r="A98" s="1225"/>
      <c r="B98" s="1225"/>
      <c r="C98" s="1216" t="s">
        <v>1394</v>
      </c>
      <c r="D98" s="1222"/>
      <c r="E98" s="1222">
        <v>10178.370000000001</v>
      </c>
      <c r="F98" s="1223"/>
      <c r="H98" s="987">
        <v>0.65449999999999997</v>
      </c>
      <c r="I98" s="987">
        <v>0.34549999999999997</v>
      </c>
      <c r="J98" s="1224">
        <f t="shared" si="5"/>
        <v>0</v>
      </c>
      <c r="K98" s="1224"/>
      <c r="L98" s="1213">
        <f t="shared" si="6"/>
        <v>0</v>
      </c>
      <c r="N98" s="1224">
        <f t="shared" si="7"/>
        <v>10178.370000000001</v>
      </c>
      <c r="O98" s="1224"/>
      <c r="P98" s="1224">
        <f t="shared" si="8"/>
        <v>10178.370000000001</v>
      </c>
      <c r="Q98" s="1224">
        <f t="shared" si="9"/>
        <v>0</v>
      </c>
    </row>
    <row r="99" spans="1:17" x14ac:dyDescent="0.35">
      <c r="A99" s="1225"/>
      <c r="B99" s="1225"/>
      <c r="C99" s="1216" t="s">
        <v>1395</v>
      </c>
      <c r="D99" s="1222">
        <v>0</v>
      </c>
      <c r="E99" s="1222">
        <v>10510.99</v>
      </c>
      <c r="F99" s="1223">
        <v>1080791.55</v>
      </c>
      <c r="H99" s="987">
        <v>0.65449999999999997</v>
      </c>
      <c r="I99" s="987">
        <v>0.34549999999999997</v>
      </c>
      <c r="J99" s="1224">
        <f t="shared" si="5"/>
        <v>707378.06947500003</v>
      </c>
      <c r="K99" s="1224"/>
      <c r="L99" s="1213">
        <f t="shared" si="6"/>
        <v>707378.06947500003</v>
      </c>
      <c r="N99" s="1224">
        <f t="shared" si="7"/>
        <v>383924.47052499995</v>
      </c>
      <c r="O99" s="1224"/>
      <c r="P99" s="1224">
        <f t="shared" si="8"/>
        <v>383924.47052499995</v>
      </c>
      <c r="Q99" s="1224">
        <f t="shared" si="9"/>
        <v>707378.06947500003</v>
      </c>
    </row>
    <row r="100" spans="1:17" x14ac:dyDescent="0.35">
      <c r="A100" s="1225"/>
      <c r="B100" s="1225"/>
      <c r="C100" s="1216" t="s">
        <v>1396</v>
      </c>
      <c r="D100" s="1222">
        <v>54518.65</v>
      </c>
      <c r="E100" s="1222"/>
      <c r="F100" s="1223"/>
      <c r="H100" s="987">
        <v>0.65449999999999997</v>
      </c>
      <c r="I100" s="987">
        <v>0.34549999999999997</v>
      </c>
      <c r="J100" s="1224">
        <f t="shared" si="5"/>
        <v>54518.65</v>
      </c>
      <c r="K100" s="1224"/>
      <c r="L100" s="1213">
        <f t="shared" si="6"/>
        <v>54518.65</v>
      </c>
      <c r="N100" s="1224">
        <f t="shared" si="7"/>
        <v>0</v>
      </c>
      <c r="O100" s="1224"/>
      <c r="P100" s="1224">
        <f t="shared" si="8"/>
        <v>0</v>
      </c>
      <c r="Q100" s="1224">
        <f t="shared" si="9"/>
        <v>54518.65</v>
      </c>
    </row>
    <row r="101" spans="1:17" x14ac:dyDescent="0.35">
      <c r="A101" s="1225"/>
      <c r="B101" s="1225"/>
      <c r="C101" s="1216" t="s">
        <v>1397</v>
      </c>
      <c r="D101" s="1222"/>
      <c r="E101" s="1222">
        <v>20382.099999999999</v>
      </c>
      <c r="F101" s="1223"/>
      <c r="H101" s="987">
        <v>0.65449999999999997</v>
      </c>
      <c r="I101" s="987">
        <v>0.34549999999999997</v>
      </c>
      <c r="J101" s="1224">
        <f t="shared" si="5"/>
        <v>0</v>
      </c>
      <c r="K101" s="1224"/>
      <c r="L101" s="1213">
        <f t="shared" si="6"/>
        <v>0</v>
      </c>
      <c r="N101" s="1224">
        <f t="shared" si="7"/>
        <v>20382.099999999999</v>
      </c>
      <c r="O101" s="1224"/>
      <c r="P101" s="1224">
        <f t="shared" si="8"/>
        <v>20382.099999999999</v>
      </c>
      <c r="Q101" s="1224">
        <f t="shared" si="9"/>
        <v>0</v>
      </c>
    </row>
    <row r="102" spans="1:17" x14ac:dyDescent="0.35">
      <c r="A102" s="1225"/>
      <c r="B102" s="1225"/>
      <c r="C102" s="1216" t="s">
        <v>1398</v>
      </c>
      <c r="D102" s="1222">
        <v>54824.959999999999</v>
      </c>
      <c r="E102" s="1222">
        <v>5103.4799999999996</v>
      </c>
      <c r="F102" s="1223">
        <v>63255.77</v>
      </c>
      <c r="H102" s="987">
        <v>0.65449999999999997</v>
      </c>
      <c r="I102" s="987">
        <v>0.34549999999999997</v>
      </c>
      <c r="J102" s="1224">
        <f t="shared" si="5"/>
        <v>96225.861464999994</v>
      </c>
      <c r="K102" s="1224"/>
      <c r="L102" s="1213">
        <f t="shared" si="6"/>
        <v>96225.861464999994</v>
      </c>
      <c r="N102" s="1224">
        <f t="shared" si="7"/>
        <v>26958.348534999997</v>
      </c>
      <c r="O102" s="1224"/>
      <c r="P102" s="1224">
        <f t="shared" si="8"/>
        <v>26958.348534999997</v>
      </c>
      <c r="Q102" s="1224">
        <f t="shared" si="9"/>
        <v>96225.861464999994</v>
      </c>
    </row>
    <row r="103" spans="1:17" x14ac:dyDescent="0.35">
      <c r="A103" s="1225"/>
      <c r="B103" s="1225"/>
      <c r="C103" s="1216" t="s">
        <v>1399</v>
      </c>
      <c r="D103" s="1222">
        <v>18576.560000000001</v>
      </c>
      <c r="E103" s="1222">
        <v>4954.97</v>
      </c>
      <c r="F103" s="1223">
        <v>128368.66</v>
      </c>
      <c r="H103" s="987">
        <v>0.65449999999999997</v>
      </c>
      <c r="I103" s="987">
        <v>0.34549999999999997</v>
      </c>
      <c r="J103" s="1224">
        <f t="shared" si="5"/>
        <v>102593.84797</v>
      </c>
      <c r="K103" s="1224"/>
      <c r="L103" s="1213">
        <f t="shared" si="6"/>
        <v>102593.84797</v>
      </c>
      <c r="N103" s="1224">
        <f t="shared" si="7"/>
        <v>49306.34203</v>
      </c>
      <c r="O103" s="1224"/>
      <c r="P103" s="1224">
        <f t="shared" si="8"/>
        <v>49306.34203</v>
      </c>
      <c r="Q103" s="1224">
        <f t="shared" si="9"/>
        <v>102593.84797</v>
      </c>
    </row>
    <row r="104" spans="1:17" x14ac:dyDescent="0.35">
      <c r="A104" s="1225"/>
      <c r="B104" s="1225"/>
      <c r="C104" s="1216" t="s">
        <v>1400</v>
      </c>
      <c r="D104" s="1222">
        <v>72352.570000000007</v>
      </c>
      <c r="E104" s="1222">
        <v>0</v>
      </c>
      <c r="F104" s="1223">
        <v>-13423.76</v>
      </c>
      <c r="H104" s="987">
        <v>0.65449999999999997</v>
      </c>
      <c r="I104" s="987">
        <v>0.34549999999999997</v>
      </c>
      <c r="J104" s="1224">
        <f t="shared" si="5"/>
        <v>63566.71908000001</v>
      </c>
      <c r="K104" s="1224"/>
      <c r="L104" s="1213">
        <f t="shared" si="6"/>
        <v>63566.71908000001</v>
      </c>
      <c r="N104" s="1224">
        <f t="shared" si="7"/>
        <v>-4637.9090799999994</v>
      </c>
      <c r="O104" s="1224"/>
      <c r="P104" s="1224">
        <f t="shared" si="8"/>
        <v>-4637.9090799999994</v>
      </c>
      <c r="Q104" s="1224">
        <f t="shared" si="9"/>
        <v>63566.71908000001</v>
      </c>
    </row>
    <row r="105" spans="1:17" x14ac:dyDescent="0.35">
      <c r="A105" s="1225"/>
      <c r="B105" s="1225"/>
      <c r="C105" s="1216" t="s">
        <v>1401</v>
      </c>
      <c r="D105" s="1222">
        <v>747572.22</v>
      </c>
      <c r="E105" s="1222">
        <v>55699.55</v>
      </c>
      <c r="F105" s="1223">
        <v>6624771.2999999998</v>
      </c>
      <c r="H105" s="987">
        <v>0.65449999999999997</v>
      </c>
      <c r="I105" s="987">
        <v>0.34549999999999997</v>
      </c>
      <c r="J105" s="1224">
        <f t="shared" si="5"/>
        <v>5083485.0358499996</v>
      </c>
      <c r="K105" s="1224"/>
      <c r="L105" s="1213">
        <f t="shared" si="6"/>
        <v>5083485.0358499996</v>
      </c>
      <c r="N105" s="1224">
        <f t="shared" si="7"/>
        <v>2344558.0341499997</v>
      </c>
      <c r="O105" s="1224"/>
      <c r="P105" s="1224">
        <f t="shared" si="8"/>
        <v>2344558.0341499997</v>
      </c>
      <c r="Q105" s="1224">
        <f t="shared" si="9"/>
        <v>5083485.0358499996</v>
      </c>
    </row>
    <row r="106" spans="1:17" x14ac:dyDescent="0.35">
      <c r="A106" s="1225"/>
      <c r="B106" s="1225"/>
      <c r="C106" s="1216" t="s">
        <v>1402</v>
      </c>
      <c r="D106" s="1222">
        <v>0</v>
      </c>
      <c r="E106" s="1222">
        <v>0</v>
      </c>
      <c r="F106" s="1223">
        <v>8754.3799999999992</v>
      </c>
      <c r="H106" s="987">
        <v>0.65449999999999997</v>
      </c>
      <c r="I106" s="987">
        <v>0.34549999999999997</v>
      </c>
      <c r="J106" s="1224">
        <f t="shared" si="5"/>
        <v>5729.7417099999993</v>
      </c>
      <c r="K106" s="1224"/>
      <c r="L106" s="1213">
        <f t="shared" si="6"/>
        <v>5729.7417099999993</v>
      </c>
      <c r="N106" s="1224">
        <f t="shared" si="7"/>
        <v>3024.6382899999994</v>
      </c>
      <c r="O106" s="1224"/>
      <c r="P106" s="1224">
        <f t="shared" si="8"/>
        <v>3024.6382899999994</v>
      </c>
      <c r="Q106" s="1224">
        <f t="shared" si="9"/>
        <v>5729.7417099999993</v>
      </c>
    </row>
    <row r="107" spans="1:17" x14ac:dyDescent="0.35">
      <c r="A107" s="1225"/>
      <c r="B107" s="1225"/>
      <c r="C107" s="1216" t="s">
        <v>1403</v>
      </c>
      <c r="D107" s="1222">
        <v>0</v>
      </c>
      <c r="E107" s="1222">
        <v>0</v>
      </c>
      <c r="F107" s="1223">
        <v>-2864983.23</v>
      </c>
      <c r="H107" s="987">
        <v>0.65449999999999997</v>
      </c>
      <c r="I107" s="987">
        <v>0.34549999999999997</v>
      </c>
      <c r="J107" s="1224">
        <f t="shared" si="5"/>
        <v>-1875131.524035</v>
      </c>
      <c r="K107" s="1224"/>
      <c r="L107" s="1213">
        <f t="shared" si="6"/>
        <v>-1875131.524035</v>
      </c>
      <c r="N107" s="1224">
        <f t="shared" si="7"/>
        <v>-989851.70596499997</v>
      </c>
      <c r="O107" s="1224"/>
      <c r="P107" s="1224">
        <f t="shared" si="8"/>
        <v>-989851.70596499997</v>
      </c>
      <c r="Q107" s="1224">
        <f t="shared" si="9"/>
        <v>-1875131.524035</v>
      </c>
    </row>
    <row r="108" spans="1:17" x14ac:dyDescent="0.35">
      <c r="A108" s="1225"/>
      <c r="B108" s="1225"/>
      <c r="C108" s="1216" t="s">
        <v>1404</v>
      </c>
      <c r="D108" s="1222">
        <v>0</v>
      </c>
      <c r="E108" s="1222">
        <v>0</v>
      </c>
      <c r="F108" s="1223">
        <v>2414.54</v>
      </c>
      <c r="H108" s="987">
        <v>0.65449999999999997</v>
      </c>
      <c r="I108" s="987">
        <v>0.34549999999999997</v>
      </c>
      <c r="J108" s="1224">
        <f t="shared" si="5"/>
        <v>1580.3164299999999</v>
      </c>
      <c r="K108" s="1224"/>
      <c r="L108" s="1213">
        <f t="shared" si="6"/>
        <v>1580.3164299999999</v>
      </c>
      <c r="N108" s="1224">
        <f t="shared" si="7"/>
        <v>834.22356999999988</v>
      </c>
      <c r="O108" s="1224"/>
      <c r="P108" s="1224">
        <f t="shared" si="8"/>
        <v>834.22356999999988</v>
      </c>
      <c r="Q108" s="1224">
        <f t="shared" si="9"/>
        <v>1580.3164299999999</v>
      </c>
    </row>
    <row r="109" spans="1:17" x14ac:dyDescent="0.35">
      <c r="A109" s="1225"/>
      <c r="B109" s="1225"/>
      <c r="C109" s="1216" t="s">
        <v>1405</v>
      </c>
      <c r="D109" s="1222">
        <v>22214.68</v>
      </c>
      <c r="E109" s="1222">
        <v>13694.78</v>
      </c>
      <c r="F109" s="1223">
        <v>44719.75</v>
      </c>
      <c r="H109" s="987">
        <v>0.65449999999999997</v>
      </c>
      <c r="I109" s="987">
        <v>0.34549999999999997</v>
      </c>
      <c r="J109" s="1224">
        <f t="shared" si="5"/>
        <v>51483.756374999997</v>
      </c>
      <c r="K109" s="1224"/>
      <c r="L109" s="1213">
        <f t="shared" si="6"/>
        <v>51483.756374999997</v>
      </c>
      <c r="N109" s="1224">
        <f t="shared" si="7"/>
        <v>29145.453625000002</v>
      </c>
      <c r="O109" s="1224"/>
      <c r="P109" s="1224">
        <f t="shared" si="8"/>
        <v>29145.453625000002</v>
      </c>
      <c r="Q109" s="1224">
        <f t="shared" si="9"/>
        <v>51483.756374999997</v>
      </c>
    </row>
    <row r="110" spans="1:17" x14ac:dyDescent="0.35">
      <c r="A110" s="1225"/>
      <c r="B110" s="1225"/>
      <c r="C110" s="1216" t="s">
        <v>1406</v>
      </c>
      <c r="D110" s="1222">
        <v>0</v>
      </c>
      <c r="E110" s="1222">
        <v>0</v>
      </c>
      <c r="F110" s="1223">
        <v>796.16</v>
      </c>
      <c r="H110" s="987">
        <v>0.65449999999999997</v>
      </c>
      <c r="I110" s="987">
        <v>0.34549999999999997</v>
      </c>
      <c r="J110" s="1224">
        <f t="shared" si="5"/>
        <v>521.0867199999999</v>
      </c>
      <c r="K110" s="1224"/>
      <c r="L110" s="1213">
        <f t="shared" si="6"/>
        <v>521.0867199999999</v>
      </c>
      <c r="N110" s="1224">
        <f t="shared" si="7"/>
        <v>275.07327999999995</v>
      </c>
      <c r="O110" s="1224"/>
      <c r="P110" s="1224">
        <f t="shared" si="8"/>
        <v>275.07327999999995</v>
      </c>
      <c r="Q110" s="1224">
        <f t="shared" si="9"/>
        <v>521.0867199999999</v>
      </c>
    </row>
    <row r="111" spans="1:17" x14ac:dyDescent="0.35">
      <c r="A111" s="1225"/>
      <c r="B111" s="1225"/>
      <c r="C111" s="1216" t="s">
        <v>1407</v>
      </c>
      <c r="D111" s="1222">
        <v>188.39</v>
      </c>
      <c r="E111" s="1222">
        <v>115.33</v>
      </c>
      <c r="F111" s="1223">
        <v>9674.8700000000008</v>
      </c>
      <c r="H111" s="987">
        <v>0.65449999999999997</v>
      </c>
      <c r="I111" s="987">
        <v>0.34549999999999997</v>
      </c>
      <c r="J111" s="1224">
        <f t="shared" si="5"/>
        <v>6520.592415000001</v>
      </c>
      <c r="K111" s="1224"/>
      <c r="L111" s="1213">
        <f t="shared" si="6"/>
        <v>6520.592415000001</v>
      </c>
      <c r="N111" s="1224">
        <f t="shared" si="7"/>
        <v>3457.9975850000001</v>
      </c>
      <c r="O111" s="1224"/>
      <c r="P111" s="1224">
        <f t="shared" si="8"/>
        <v>3457.9975850000001</v>
      </c>
      <c r="Q111" s="1224">
        <f t="shared" si="9"/>
        <v>6520.592415000001</v>
      </c>
    </row>
    <row r="112" spans="1:17" x14ac:dyDescent="0.35">
      <c r="A112" s="1225"/>
      <c r="B112" s="1225"/>
      <c r="C112" s="1216" t="s">
        <v>1408</v>
      </c>
      <c r="D112" s="1222"/>
      <c r="E112" s="1222">
        <v>3053.85</v>
      </c>
      <c r="F112" s="1223"/>
      <c r="H112" s="987">
        <v>0.65449999999999997</v>
      </c>
      <c r="I112" s="987">
        <v>0.34549999999999997</v>
      </c>
      <c r="J112" s="1224">
        <f t="shared" si="5"/>
        <v>0</v>
      </c>
      <c r="K112" s="1224"/>
      <c r="L112" s="1213">
        <f t="shared" si="6"/>
        <v>0</v>
      </c>
      <c r="N112" s="1224">
        <f t="shared" si="7"/>
        <v>3053.85</v>
      </c>
      <c r="O112" s="1224"/>
      <c r="P112" s="1224">
        <f t="shared" si="8"/>
        <v>3053.85</v>
      </c>
      <c r="Q112" s="1224">
        <f t="shared" si="9"/>
        <v>0</v>
      </c>
    </row>
    <row r="113" spans="1:17" x14ac:dyDescent="0.35">
      <c r="A113" s="1225"/>
      <c r="B113" s="1225"/>
      <c r="C113" s="1216" t="s">
        <v>1409</v>
      </c>
      <c r="D113" s="1222">
        <v>48.19</v>
      </c>
      <c r="E113" s="1222">
        <v>0</v>
      </c>
      <c r="F113" s="1223">
        <v>7054.13</v>
      </c>
      <c r="H113" s="987">
        <v>0.65449999999999997</v>
      </c>
      <c r="I113" s="987">
        <v>0.34549999999999997</v>
      </c>
      <c r="J113" s="1224">
        <f t="shared" si="5"/>
        <v>4665.1180849999992</v>
      </c>
      <c r="K113" s="1224"/>
      <c r="L113" s="1213">
        <f t="shared" si="6"/>
        <v>4665.1180849999992</v>
      </c>
      <c r="N113" s="1224">
        <f t="shared" si="7"/>
        <v>2437.2019149999996</v>
      </c>
      <c r="O113" s="1224"/>
      <c r="P113" s="1224">
        <f t="shared" si="8"/>
        <v>2437.2019149999996</v>
      </c>
      <c r="Q113" s="1224">
        <f t="shared" si="9"/>
        <v>4665.1180849999992</v>
      </c>
    </row>
    <row r="114" spans="1:17" x14ac:dyDescent="0.35">
      <c r="A114" s="1225"/>
      <c r="B114" s="1225"/>
      <c r="C114" s="1226" t="s">
        <v>1410</v>
      </c>
      <c r="D114" s="1227">
        <v>261589772.25</v>
      </c>
      <c r="E114" s="1227">
        <v>133234278.8</v>
      </c>
      <c r="F114" s="1228">
        <v>8544917.8699999992</v>
      </c>
      <c r="G114" s="1217">
        <f>SUM(D114:F114)</f>
        <v>403368968.92000002</v>
      </c>
      <c r="J114" s="1229">
        <f>SUM(J3:J113)</f>
        <v>10698423.119915003</v>
      </c>
      <c r="K114" s="1229">
        <f>SUM(K3:K113)</f>
        <v>256483997.87599999</v>
      </c>
      <c r="L114" s="1224">
        <f>SUM(L3:L113)</f>
        <v>267182420.995915</v>
      </c>
      <c r="N114" s="1229">
        <f>SUM(N3:N113)</f>
        <v>4514840.9500849983</v>
      </c>
      <c r="O114" s="1229">
        <f>SUM(O3:O113)</f>
        <v>131671706.97400001</v>
      </c>
      <c r="P114" s="1224">
        <f t="shared" si="8"/>
        <v>136186547.92408499</v>
      </c>
      <c r="Q114" s="1224">
        <f>SUM(L114,P114)</f>
        <v>403368968.91999996</v>
      </c>
    </row>
    <row r="117" spans="1:17" x14ac:dyDescent="0.35">
      <c r="K117" s="1230" t="s">
        <v>1411</v>
      </c>
      <c r="L117" s="1231">
        <v>267182421</v>
      </c>
      <c r="N117" s="1232"/>
      <c r="O117" s="1231"/>
      <c r="P117" s="1231">
        <f>'Summary DPK-7 '!$C$41</f>
        <v>136186547.91999999</v>
      </c>
      <c r="Q117" s="1233">
        <v>403368968.91999996</v>
      </c>
    </row>
    <row r="118" spans="1:17" x14ac:dyDescent="0.35">
      <c r="L118" s="1231">
        <f>L117-L114</f>
        <v>4.0850043296813965E-3</v>
      </c>
      <c r="N118" s="1231"/>
      <c r="O118" s="1231"/>
      <c r="P118" s="1231">
        <f>P117-P114</f>
        <v>-4.0850043296813965E-3</v>
      </c>
      <c r="Q118" s="1231">
        <f>Q117-Q114</f>
        <v>0</v>
      </c>
    </row>
    <row r="121" spans="1:17" ht="15.5" x14ac:dyDescent="0.35">
      <c r="K121" s="1234"/>
      <c r="L121" s="1234"/>
      <c r="N121" s="972"/>
    </row>
    <row r="122" spans="1:17" x14ac:dyDescent="0.35">
      <c r="J122" s="1220" t="s">
        <v>1292</v>
      </c>
      <c r="K122" s="1220" t="s">
        <v>1293</v>
      </c>
      <c r="L122" s="972"/>
      <c r="N122" s="1220" t="s">
        <v>1292</v>
      </c>
      <c r="O122" s="1220" t="s">
        <v>1293</v>
      </c>
      <c r="P122" s="972"/>
    </row>
    <row r="123" spans="1:17" x14ac:dyDescent="0.35">
      <c r="G123" s="977" t="s">
        <v>325</v>
      </c>
      <c r="J123" s="1212">
        <f>J114</f>
        <v>10698423.119915003</v>
      </c>
      <c r="K123" s="1212">
        <f>K114</f>
        <v>256483997.87599999</v>
      </c>
      <c r="L123" s="1220"/>
      <c r="N123" s="1212">
        <f>N114</f>
        <v>4514840.9500849983</v>
      </c>
      <c r="O123" s="1212">
        <f>O114</f>
        <v>131671706.97400001</v>
      </c>
      <c r="P123" s="1220"/>
    </row>
    <row r="124" spans="1:17" x14ac:dyDescent="0.35">
      <c r="G124" s="985" t="s">
        <v>1412</v>
      </c>
      <c r="J124" s="1220"/>
      <c r="L124" s="1220"/>
      <c r="N124" s="1220"/>
      <c r="P124" s="1220"/>
    </row>
    <row r="125" spans="1:17" x14ac:dyDescent="0.35">
      <c r="G125" s="988" t="s">
        <v>1413</v>
      </c>
      <c r="J125" s="972">
        <v>-220070.79441386595</v>
      </c>
      <c r="L125" s="972"/>
      <c r="N125" s="972">
        <f>SUM('Detailed Summary'!$O$42,'Detailed Summary'!$O$103,'Detailed Summary'!$O$164)</f>
        <v>-85815.367676187219</v>
      </c>
      <c r="P125" s="972"/>
    </row>
    <row r="126" spans="1:17" x14ac:dyDescent="0.35">
      <c r="G126" s="988" t="s">
        <v>1414</v>
      </c>
      <c r="J126" s="972">
        <v>365630.73767307645</v>
      </c>
      <c r="L126" s="972"/>
      <c r="N126" s="972">
        <f>'Detailed Summary'!$V$42</f>
        <v>161103.54499382243</v>
      </c>
      <c r="P126" s="972"/>
    </row>
    <row r="127" spans="1:17" x14ac:dyDescent="0.35">
      <c r="G127" s="988" t="s">
        <v>1415</v>
      </c>
      <c r="J127" s="972">
        <v>17757.793333333349</v>
      </c>
      <c r="L127" s="972"/>
      <c r="N127" s="972"/>
      <c r="P127" s="972"/>
    </row>
    <row r="128" spans="1:17" x14ac:dyDescent="0.35">
      <c r="G128" s="985" t="s">
        <v>1412</v>
      </c>
      <c r="J128" s="1235"/>
      <c r="L128" s="972"/>
      <c r="N128" s="1235"/>
      <c r="P128" s="972"/>
    </row>
    <row r="129" spans="7:19" x14ac:dyDescent="0.35">
      <c r="G129" s="988" t="s">
        <v>1416</v>
      </c>
      <c r="K129" s="1213">
        <v>-4390310.5139336977</v>
      </c>
      <c r="L129" s="972"/>
      <c r="O129" s="1213">
        <f>SUM('Detailed Summary'!$E$42,'Detailed Summary'!$E$103,'Detailed Summary'!$E$164)</f>
        <v>-591660.13836971519</v>
      </c>
      <c r="P129" s="972"/>
    </row>
    <row r="130" spans="7:19" x14ac:dyDescent="0.35">
      <c r="G130" s="988" t="s">
        <v>1417</v>
      </c>
      <c r="J130" s="1217">
        <v>-36835.449999999997</v>
      </c>
      <c r="K130" s="1213">
        <v>-160329860.43470481</v>
      </c>
      <c r="L130" s="1220"/>
      <c r="N130" s="972">
        <f>SUM('Common Adj'!W53,'Common Adj'!W58)</f>
        <v>-7523.83</v>
      </c>
      <c r="O130" s="1213">
        <f>SUM('Common Adj'!W38,'Common Adj'!W44,'Common Adj'!W60)</f>
        <v>-107537090.4724285</v>
      </c>
      <c r="P130" s="1220"/>
      <c r="S130" s="1217"/>
    </row>
    <row r="131" spans="7:19" x14ac:dyDescent="0.35">
      <c r="G131" s="988" t="s">
        <v>1418</v>
      </c>
      <c r="K131" s="1213">
        <v>-2421844.0968900002</v>
      </c>
      <c r="L131" s="1220"/>
      <c r="O131" s="1213">
        <f>'Detailed Summary'!$G$42+'Detailed Summary'!$G$103</f>
        <v>-904395.67836343416</v>
      </c>
      <c r="P131" s="1220"/>
      <c r="R131" s="268">
        <v>-904395.67836343416</v>
      </c>
    </row>
    <row r="132" spans="7:19" x14ac:dyDescent="0.35">
      <c r="G132" s="988" t="s">
        <v>1419</v>
      </c>
      <c r="K132" s="1213">
        <v>27398.911120012403</v>
      </c>
      <c r="L132" s="1220"/>
      <c r="O132" s="1213">
        <f>'Detailed Summary'!$L$42</f>
        <v>858.74887999892235</v>
      </c>
      <c r="P132" s="1220"/>
    </row>
    <row r="133" spans="7:19" x14ac:dyDescent="0.35">
      <c r="G133" s="988" t="s">
        <v>1570</v>
      </c>
      <c r="K133" s="1213">
        <v>-297374.09605180001</v>
      </c>
      <c r="L133" s="1220"/>
      <c r="O133" s="1213">
        <f>'Detailed Summary'!AB42</f>
        <v>-147650.67252558001</v>
      </c>
      <c r="P133" s="1220"/>
    </row>
    <row r="134" spans="7:19" x14ac:dyDescent="0.35">
      <c r="G134" s="988" t="s">
        <v>1572</v>
      </c>
      <c r="K134" s="972">
        <v>-1550.4800700000001</v>
      </c>
      <c r="L134" s="1220"/>
      <c r="O134" s="1213"/>
      <c r="P134" s="1220"/>
    </row>
    <row r="135" spans="7:19" x14ac:dyDescent="0.35">
      <c r="G135" s="988" t="s">
        <v>1571</v>
      </c>
      <c r="K135" s="1213">
        <v>-1643.6347136100001</v>
      </c>
      <c r="L135" s="1220"/>
      <c r="O135" s="1213">
        <f>'Detailed Summary'!AK42</f>
        <v>0</v>
      </c>
      <c r="P135" s="1220"/>
    </row>
    <row r="136" spans="7:19" x14ac:dyDescent="0.35">
      <c r="G136" s="988" t="s">
        <v>1524</v>
      </c>
      <c r="J136" s="972"/>
      <c r="K136" s="972">
        <v>-116834.34608376001</v>
      </c>
      <c r="L136" s="1220"/>
      <c r="O136" s="1213"/>
      <c r="P136" s="1220"/>
    </row>
    <row r="137" spans="7:19" x14ac:dyDescent="0.35">
      <c r="G137" s="988" t="s">
        <v>1751</v>
      </c>
      <c r="J137" s="1236"/>
      <c r="K137" s="1214">
        <v>-1956283.99989708</v>
      </c>
      <c r="L137" s="1237"/>
      <c r="N137" s="1236"/>
      <c r="O137" s="1214">
        <f>'Gas Adj'!BI43</f>
        <v>-771295.31558099994</v>
      </c>
      <c r="P137" s="1237"/>
    </row>
    <row r="138" spans="7:19" x14ac:dyDescent="0.35">
      <c r="G138" s="1220" t="s">
        <v>1420</v>
      </c>
      <c r="J138" s="1235">
        <f>SUM(J123:J137)</f>
        <v>10824905.406507546</v>
      </c>
      <c r="K138" s="1235">
        <f>SUM(K123:K137)</f>
        <v>86995695.184775263</v>
      </c>
      <c r="L138" s="1235">
        <f>SUM(J138:K138)</f>
        <v>97820600.591282815</v>
      </c>
      <c r="N138" s="1235">
        <f>SUM(N123:N137)</f>
        <v>4582605.2974026334</v>
      </c>
      <c r="O138" s="1235">
        <f>SUM(O123:O137)</f>
        <v>21720473.445611779</v>
      </c>
      <c r="P138" s="1235">
        <f>SUM(N138:O138)</f>
        <v>26303078.74301441</v>
      </c>
    </row>
    <row r="139" spans="7:19" x14ac:dyDescent="0.35">
      <c r="K139" s="268" t="s">
        <v>1421</v>
      </c>
      <c r="L139" s="1221">
        <v>97820600.595367759</v>
      </c>
      <c r="O139" s="268" t="s">
        <v>1421</v>
      </c>
      <c r="P139" s="1221">
        <f>'Summary DPK-7 '!$I$41</f>
        <v>26303078.738929383</v>
      </c>
    </row>
    <row r="140" spans="7:19" x14ac:dyDescent="0.35">
      <c r="G140" s="985" t="s">
        <v>1412</v>
      </c>
      <c r="L140" s="1238">
        <f>L139-L138</f>
        <v>4.0849447250366211E-3</v>
      </c>
      <c r="P140" s="1238">
        <f>P139-P138</f>
        <v>-4.0850266814231873E-3</v>
      </c>
    </row>
    <row r="141" spans="7:19" x14ac:dyDescent="0.35">
      <c r="G141" s="988" t="s">
        <v>1413</v>
      </c>
      <c r="J141" s="972">
        <v>7157.2686037347394</v>
      </c>
      <c r="L141" s="972"/>
      <c r="N141" s="972">
        <f>'Detailed Summary'!$O$225</f>
        <v>1968.4660262220461</v>
      </c>
      <c r="P141" s="972"/>
    </row>
    <row r="142" spans="7:19" x14ac:dyDescent="0.35">
      <c r="G142" s="988" t="s">
        <v>1416</v>
      </c>
      <c r="K142" s="1213">
        <v>300695.85596440989</v>
      </c>
      <c r="O142" s="1213">
        <f>'Detailed Summary'!$E$225</f>
        <v>-138436.252794</v>
      </c>
    </row>
    <row r="143" spans="7:19" x14ac:dyDescent="0.35">
      <c r="G143" s="988" t="s">
        <v>163</v>
      </c>
      <c r="J143" s="1220"/>
      <c r="K143" s="1213">
        <v>73901.136427062971</v>
      </c>
      <c r="L143" s="1220"/>
      <c r="N143" s="1220"/>
      <c r="O143" s="1213"/>
      <c r="P143" s="1220"/>
    </row>
    <row r="144" spans="7:19" ht="15" thickBot="1" x14ac:dyDescent="0.4">
      <c r="G144" s="988" t="s">
        <v>1422</v>
      </c>
      <c r="J144" s="972">
        <f>'O&amp;M'!H40</f>
        <v>9056765.4935848434</v>
      </c>
      <c r="L144" s="1220"/>
      <c r="M144" s="1239"/>
      <c r="N144" s="972">
        <f>'O&amp;M'!L40</f>
        <v>2674780.2619089624</v>
      </c>
      <c r="P144" s="1220"/>
    </row>
    <row r="145" spans="7:16" ht="19" thickBot="1" x14ac:dyDescent="0.5">
      <c r="G145" s="988" t="s">
        <v>1423</v>
      </c>
      <c r="J145" s="1240">
        <f>SUM(J142:J144,-J138)</f>
        <v>-1768139.9129227027</v>
      </c>
      <c r="K145" s="1220"/>
      <c r="L145" s="1220"/>
      <c r="N145" s="1240">
        <f>SUM(N142:N144,-N138)</f>
        <v>-1907825.035493671</v>
      </c>
      <c r="O145" s="1220"/>
      <c r="P145" s="1220"/>
    </row>
    <row r="146" spans="7:16" x14ac:dyDescent="0.35">
      <c r="J146" s="1236"/>
      <c r="K146" s="1236"/>
      <c r="L146" s="976"/>
      <c r="N146" s="1236"/>
      <c r="O146" s="1236"/>
      <c r="P146" s="976"/>
    </row>
    <row r="147" spans="7:16" x14ac:dyDescent="0.35">
      <c r="G147" s="1220" t="s">
        <v>1424</v>
      </c>
      <c r="J147" s="1235">
        <f>SUM(J138,J141,J145)</f>
        <v>9063922.762188578</v>
      </c>
      <c r="K147" s="1235">
        <f>SUM(K138:K146)</f>
        <v>87370292.17716673</v>
      </c>
      <c r="L147" s="1235">
        <f>SUM(J147:K147)</f>
        <v>96434214.939355314</v>
      </c>
      <c r="N147" s="1235">
        <f>SUM(N138,N141,N145)</f>
        <v>2676748.7279351847</v>
      </c>
      <c r="O147" s="1235">
        <f>SUM(O138:O146)</f>
        <v>21582037.192817777</v>
      </c>
      <c r="P147" s="1235">
        <f>SUM(N147:O147)</f>
        <v>24258785.920752961</v>
      </c>
    </row>
    <row r="148" spans="7:16" ht="18.5" x14ac:dyDescent="0.45">
      <c r="K148" s="268" t="s">
        <v>1421</v>
      </c>
      <c r="L148" s="1241">
        <v>96434214.943440259</v>
      </c>
      <c r="O148" s="268" t="s">
        <v>1421</v>
      </c>
      <c r="P148" s="1241">
        <f>'Summary DPK-7 '!$K$41</f>
        <v>24258785.916667935</v>
      </c>
    </row>
    <row r="149" spans="7:16" x14ac:dyDescent="0.35">
      <c r="G149" s="985" t="s">
        <v>1412</v>
      </c>
      <c r="L149" s="1238">
        <f>L148-L147</f>
        <v>4.0849447250366211E-3</v>
      </c>
      <c r="P149" s="1238">
        <f>P148-P147</f>
        <v>-4.0850266814231873E-3</v>
      </c>
    </row>
    <row r="150" spans="7:16" x14ac:dyDescent="0.35">
      <c r="G150" s="988" t="s">
        <v>1413</v>
      </c>
      <c r="J150" s="972">
        <v>416.19901798632878</v>
      </c>
      <c r="L150" s="972"/>
      <c r="N150" s="972">
        <f>'Detailed Summary'!$O$286</f>
        <v>155.74030751886735</v>
      </c>
      <c r="P150" s="972"/>
    </row>
    <row r="151" spans="7:16" x14ac:dyDescent="0.35">
      <c r="G151" s="988" t="s">
        <v>1416</v>
      </c>
      <c r="K151" s="1217">
        <v>1047908.1510244854</v>
      </c>
      <c r="L151" s="972"/>
      <c r="O151" s="1217">
        <f>'Detailed Summary'!$E$286</f>
        <v>-18695.311887</v>
      </c>
      <c r="P151" s="972"/>
    </row>
    <row r="152" spans="7:16" x14ac:dyDescent="0.35">
      <c r="G152" s="988" t="s">
        <v>163</v>
      </c>
      <c r="J152" s="1220"/>
      <c r="K152" s="1213">
        <v>9509.5590706465646</v>
      </c>
      <c r="N152" s="1220"/>
      <c r="O152" s="1213"/>
    </row>
    <row r="153" spans="7:16" ht="15" thickBot="1" x14ac:dyDescent="0.4">
      <c r="G153" s="988" t="s">
        <v>1422</v>
      </c>
      <c r="J153" s="972">
        <f>'O&amp;M'!I40</f>
        <v>10426489.941850016</v>
      </c>
      <c r="L153" s="1220"/>
      <c r="N153" s="972">
        <f>'O&amp;M'!M40</f>
        <v>4867047.1414145846</v>
      </c>
      <c r="P153" s="1220"/>
    </row>
    <row r="154" spans="7:16" ht="19" thickBot="1" x14ac:dyDescent="0.5">
      <c r="G154" s="988" t="s">
        <v>1423</v>
      </c>
      <c r="J154" s="1240">
        <f>SUM(J151:J153,-J147)</f>
        <v>1362567.1796614379</v>
      </c>
      <c r="L154" s="1220"/>
      <c r="N154" s="1240">
        <f>SUM(N151:N153,-N147)</f>
        <v>2190298.4134793999</v>
      </c>
      <c r="P154" s="1220"/>
    </row>
    <row r="155" spans="7:16" x14ac:dyDescent="0.35">
      <c r="G155" s="988"/>
      <c r="J155" s="1237"/>
      <c r="K155" s="1214"/>
      <c r="L155" s="1236"/>
      <c r="N155" s="1237"/>
      <c r="O155" s="1214"/>
      <c r="P155" s="1236"/>
    </row>
    <row r="156" spans="7:16" x14ac:dyDescent="0.35">
      <c r="G156" s="1220" t="s">
        <v>1425</v>
      </c>
      <c r="J156" s="1235">
        <f>SUM(J147,J150,J154)</f>
        <v>10426906.140868003</v>
      </c>
      <c r="K156" s="1235">
        <f>SUM(K147:K155)</f>
        <v>88427709.887261868</v>
      </c>
      <c r="L156" s="1235">
        <f>SUM(J156:K156)</f>
        <v>98854616.028129876</v>
      </c>
      <c r="N156" s="1235">
        <f>SUM(N147,N150,N154)</f>
        <v>4867202.8817221038</v>
      </c>
      <c r="O156" s="1235">
        <f>SUM(O147:O155)</f>
        <v>21563341.880930778</v>
      </c>
      <c r="P156" s="1235">
        <f>SUM(N156:O156)</f>
        <v>26430544.762652881</v>
      </c>
    </row>
    <row r="157" spans="7:16" ht="18.5" x14ac:dyDescent="0.45">
      <c r="K157" s="268" t="s">
        <v>1421</v>
      </c>
      <c r="L157" s="1241">
        <v>98854616.03221482</v>
      </c>
      <c r="O157" s="268" t="s">
        <v>1421</v>
      </c>
      <c r="P157" s="1241">
        <f>'Summary DPK-7 '!$M$41</f>
        <v>26430544.758567855</v>
      </c>
    </row>
    <row r="158" spans="7:16" x14ac:dyDescent="0.35">
      <c r="L158" s="1238">
        <f>L157-L156</f>
        <v>4.0849447250366211E-3</v>
      </c>
      <c r="P158" s="1238">
        <f>P157-P156</f>
        <v>-4.0850266814231873E-3</v>
      </c>
    </row>
    <row r="160" spans="7:16" x14ac:dyDescent="0.35">
      <c r="N160" s="1242"/>
    </row>
    <row r="161" spans="1:14" x14ac:dyDescent="0.35">
      <c r="N161" s="1242"/>
    </row>
    <row r="165" spans="1:14" x14ac:dyDescent="0.35">
      <c r="A165" s="1220" t="s">
        <v>1535</v>
      </c>
      <c r="B165" s="1220"/>
      <c r="C165" s="1220"/>
      <c r="D165" s="1243" t="s">
        <v>1536</v>
      </c>
      <c r="E165" s="1243" t="s">
        <v>1537</v>
      </c>
      <c r="F165" s="1243" t="s">
        <v>1538</v>
      </c>
      <c r="G165" s="1243" t="s">
        <v>325</v>
      </c>
      <c r="H165" s="1243" t="s">
        <v>1539</v>
      </c>
      <c r="I165" s="1243" t="s">
        <v>891</v>
      </c>
      <c r="J165" s="1243" t="s">
        <v>1540</v>
      </c>
      <c r="K165" s="1243" t="s">
        <v>1133</v>
      </c>
      <c r="L165" s="1243" t="s">
        <v>1541</v>
      </c>
      <c r="M165" s="1243" t="s">
        <v>1134</v>
      </c>
    </row>
    <row r="166" spans="1:14" x14ac:dyDescent="0.35">
      <c r="A166" s="268" t="s">
        <v>1542</v>
      </c>
      <c r="D166" s="1244">
        <v>104501872.68000001</v>
      </c>
      <c r="E166" s="1244">
        <f>D184*H3</f>
        <v>1899203.2289999998</v>
      </c>
      <c r="F166" s="1244"/>
      <c r="G166" s="1244">
        <f>SUM(D166:F166)</f>
        <v>106401075.90900001</v>
      </c>
      <c r="H166" s="1244">
        <v>-19738237.171224698</v>
      </c>
      <c r="I166" s="1244">
        <f>SUM(G166:H166)</f>
        <v>86662838.737775311</v>
      </c>
      <c r="J166" s="1244">
        <f>SUM(K139:K144)</f>
        <v>374596.99239147286</v>
      </c>
      <c r="K166" s="1244">
        <f>SUM(I166:J166)</f>
        <v>87037435.730166778</v>
      </c>
      <c r="L166" s="1244">
        <f>SUM(K149:K152,K154:K155)</f>
        <v>1057417.710095132</v>
      </c>
      <c r="M166" s="1244">
        <f>SUM(K166:L166)</f>
        <v>88094853.440261915</v>
      </c>
    </row>
    <row r="167" spans="1:14" x14ac:dyDescent="0.35">
      <c r="A167" s="268" t="s">
        <v>1543</v>
      </c>
      <c r="D167" s="1242">
        <v>99030798.5</v>
      </c>
      <c r="E167" s="1242"/>
      <c r="F167" s="1242"/>
      <c r="G167" s="1242">
        <f t="shared" ref="G167:G186" si="10">SUM(D167:F167)</f>
        <v>99030798.5</v>
      </c>
      <c r="H167" s="1242">
        <v>-99030798.5</v>
      </c>
      <c r="I167" s="1242">
        <f t="shared" ref="I167:M182" si="11">SUM(G167:H167)</f>
        <v>0</v>
      </c>
      <c r="J167" s="1242"/>
      <c r="K167" s="1242">
        <f t="shared" si="11"/>
        <v>0</v>
      </c>
      <c r="L167" s="1242"/>
      <c r="M167" s="1242">
        <f t="shared" si="11"/>
        <v>0</v>
      </c>
    </row>
    <row r="168" spans="1:14" x14ac:dyDescent="0.35">
      <c r="A168" s="268" t="s">
        <v>1544</v>
      </c>
      <c r="D168" s="1242">
        <v>945506.81</v>
      </c>
      <c r="E168" s="1242"/>
      <c r="F168" s="1242"/>
      <c r="G168" s="1242">
        <f t="shared" si="10"/>
        <v>945506.81</v>
      </c>
      <c r="H168" s="1242">
        <f t="shared" ref="H168:H173" si="12">-G168</f>
        <v>-945506.81</v>
      </c>
      <c r="I168" s="1242">
        <f t="shared" si="11"/>
        <v>0</v>
      </c>
      <c r="J168" s="1242"/>
      <c r="K168" s="1242">
        <f t="shared" si="11"/>
        <v>0</v>
      </c>
      <c r="L168" s="1242"/>
      <c r="M168" s="1242">
        <f t="shared" si="11"/>
        <v>0</v>
      </c>
    </row>
    <row r="169" spans="1:14" x14ac:dyDescent="0.35">
      <c r="A169" s="268" t="s">
        <v>1545</v>
      </c>
      <c r="D169" s="1242">
        <v>35303608.700000003</v>
      </c>
      <c r="E169" s="1242"/>
      <c r="F169" s="1242"/>
      <c r="G169" s="1242">
        <f t="shared" si="10"/>
        <v>35303608.700000003</v>
      </c>
      <c r="H169" s="1242">
        <f t="shared" si="12"/>
        <v>-35303608.700000003</v>
      </c>
      <c r="I169" s="1242">
        <f t="shared" si="11"/>
        <v>0</v>
      </c>
      <c r="J169" s="1242"/>
      <c r="K169" s="1242">
        <f t="shared" si="11"/>
        <v>0</v>
      </c>
      <c r="L169" s="1242"/>
      <c r="M169" s="1242">
        <f t="shared" si="11"/>
        <v>0</v>
      </c>
    </row>
    <row r="170" spans="1:14" x14ac:dyDescent="0.35">
      <c r="A170" s="268" t="s">
        <v>1546</v>
      </c>
      <c r="D170" s="1242">
        <v>7824960.9199999999</v>
      </c>
      <c r="E170" s="1242"/>
      <c r="F170" s="1242"/>
      <c r="G170" s="1242">
        <f t="shared" si="10"/>
        <v>7824960.9199999999</v>
      </c>
      <c r="H170" s="1242">
        <f t="shared" si="12"/>
        <v>-7824960.9199999999</v>
      </c>
      <c r="I170" s="1242">
        <f t="shared" si="11"/>
        <v>0</v>
      </c>
      <c r="J170" s="1242"/>
      <c r="K170" s="1242">
        <f t="shared" si="11"/>
        <v>0</v>
      </c>
      <c r="L170" s="1242"/>
      <c r="M170" s="1242">
        <f t="shared" si="11"/>
        <v>0</v>
      </c>
    </row>
    <row r="171" spans="1:14" x14ac:dyDescent="0.35">
      <c r="A171" s="268" t="s">
        <v>1547</v>
      </c>
      <c r="D171" s="1242">
        <v>643451.68999999994</v>
      </c>
      <c r="E171" s="1242"/>
      <c r="F171" s="1242"/>
      <c r="G171" s="1242">
        <f t="shared" si="10"/>
        <v>643451.68999999994</v>
      </c>
      <c r="H171" s="1242">
        <f t="shared" si="12"/>
        <v>-643451.68999999994</v>
      </c>
      <c r="I171" s="1242">
        <f t="shared" si="11"/>
        <v>0</v>
      </c>
      <c r="J171" s="1242"/>
      <c r="K171" s="1242">
        <f t="shared" si="11"/>
        <v>0</v>
      </c>
      <c r="L171" s="1242"/>
      <c r="M171" s="1242">
        <f t="shared" si="11"/>
        <v>0</v>
      </c>
    </row>
    <row r="172" spans="1:14" x14ac:dyDescent="0.35">
      <c r="A172" s="268" t="s">
        <v>1548</v>
      </c>
      <c r="D172" s="1242">
        <v>6438385.5599999996</v>
      </c>
      <c r="E172" s="1242"/>
      <c r="F172" s="1242"/>
      <c r="G172" s="1242">
        <f t="shared" si="10"/>
        <v>6438385.5599999996</v>
      </c>
      <c r="H172" s="1242">
        <f t="shared" si="12"/>
        <v>-6438385.5599999996</v>
      </c>
      <c r="I172" s="1242">
        <f t="shared" si="11"/>
        <v>0</v>
      </c>
      <c r="J172" s="1242"/>
      <c r="K172" s="1242">
        <f t="shared" si="11"/>
        <v>0</v>
      </c>
      <c r="L172" s="1242"/>
      <c r="M172" s="1242">
        <f t="shared" si="11"/>
        <v>0</v>
      </c>
    </row>
    <row r="173" spans="1:14" x14ac:dyDescent="0.35">
      <c r="A173" s="268" t="s">
        <v>1549</v>
      </c>
      <c r="D173" s="1242">
        <v>-436646.66</v>
      </c>
      <c r="E173" s="1242"/>
      <c r="F173" s="1242"/>
      <c r="G173" s="1242">
        <f t="shared" si="10"/>
        <v>-436646.66</v>
      </c>
      <c r="H173" s="1242">
        <f t="shared" si="12"/>
        <v>436646.66</v>
      </c>
      <c r="I173" s="1242">
        <f t="shared" si="11"/>
        <v>0</v>
      </c>
      <c r="J173" s="1242"/>
      <c r="K173" s="1242">
        <f t="shared" si="11"/>
        <v>0</v>
      </c>
      <c r="L173" s="1242"/>
      <c r="M173" s="1242">
        <f t="shared" si="11"/>
        <v>0</v>
      </c>
    </row>
    <row r="174" spans="1:14" x14ac:dyDescent="0.35">
      <c r="A174" s="268" t="s">
        <v>1550</v>
      </c>
      <c r="D174" s="1242"/>
      <c r="E174" s="1242">
        <f>D185*H3</f>
        <v>332856.44699999999</v>
      </c>
      <c r="F174" s="1242"/>
      <c r="G174" s="1242">
        <f t="shared" si="10"/>
        <v>332856.44699999999</v>
      </c>
      <c r="H174" s="1242"/>
      <c r="I174" s="1242">
        <f t="shared" si="11"/>
        <v>332856.44699999999</v>
      </c>
      <c r="J174" s="1242"/>
      <c r="K174" s="1242">
        <f t="shared" si="11"/>
        <v>332856.44699999999</v>
      </c>
      <c r="L174" s="1242"/>
      <c r="M174" s="1242">
        <f t="shared" si="11"/>
        <v>332856.44699999999</v>
      </c>
    </row>
    <row r="175" spans="1:14" x14ac:dyDescent="0.35">
      <c r="A175" s="1245" t="s">
        <v>1551</v>
      </c>
      <c r="D175" s="1242"/>
      <c r="E175" s="1242"/>
      <c r="F175" s="1242">
        <f>J114</f>
        <v>10698423.119915003</v>
      </c>
      <c r="G175" s="1242">
        <f t="shared" si="10"/>
        <v>10698423.119915003</v>
      </c>
      <c r="H175" s="1242">
        <f>SUM(J124:J137)</f>
        <v>126482.28659254384</v>
      </c>
      <c r="I175" s="1242">
        <f t="shared" si="11"/>
        <v>10824905.406507546</v>
      </c>
      <c r="J175" s="1242">
        <f>J145+J141</f>
        <v>-1760982.6443189681</v>
      </c>
      <c r="K175" s="1242">
        <f t="shared" si="11"/>
        <v>9063922.762188578</v>
      </c>
      <c r="L175" s="1242">
        <f>SUM(J148:J152,J154:J155)</f>
        <v>1362983.3786794243</v>
      </c>
      <c r="M175" s="1242">
        <f t="shared" si="11"/>
        <v>10426906.140868003</v>
      </c>
    </row>
    <row r="176" spans="1:14" x14ac:dyDescent="0.35">
      <c r="A176" s="268" t="s">
        <v>1552</v>
      </c>
      <c r="D176" s="1246">
        <f t="shared" ref="D176:I176" si="13">SUM(D166:D175)</f>
        <v>254251938.19999999</v>
      </c>
      <c r="E176" s="1246">
        <f t="shared" si="13"/>
        <v>2232059.676</v>
      </c>
      <c r="F176" s="1246">
        <f t="shared" si="13"/>
        <v>10698423.119915003</v>
      </c>
      <c r="G176" s="1246">
        <f t="shared" si="13"/>
        <v>267182420.99591503</v>
      </c>
      <c r="H176" s="1246">
        <f t="shared" si="13"/>
        <v>-169361820.40463215</v>
      </c>
      <c r="I176" s="1246">
        <f t="shared" si="13"/>
        <v>97820600.591282859</v>
      </c>
      <c r="J176" s="1246">
        <f t="shared" ref="J176:L176" si="14">SUM(J166:J175)</f>
        <v>-1386385.6519274951</v>
      </c>
      <c r="K176" s="1246">
        <f>SUM(K166:K175)</f>
        <v>96434214.939355358</v>
      </c>
      <c r="L176" s="1246">
        <f t="shared" si="14"/>
        <v>2420401.0887745563</v>
      </c>
      <c r="M176" s="1246">
        <f>SUM(M166:M175)</f>
        <v>98854616.02812992</v>
      </c>
    </row>
    <row r="177" spans="1:13" x14ac:dyDescent="0.35">
      <c r="A177" s="268" t="s">
        <v>1553</v>
      </c>
      <c r="D177" s="1246">
        <v>50491769.890000001</v>
      </c>
      <c r="E177" s="1246">
        <f>D184*I3</f>
        <v>1002558.7709999999</v>
      </c>
      <c r="F177" s="1246"/>
      <c r="G177" s="1246">
        <f t="shared" si="10"/>
        <v>51494328.660999998</v>
      </c>
      <c r="H177" s="1246">
        <f>'Common Adj'!$W$38+SUM(O129,O131:O137)</f>
        <v>-29949564.768388234</v>
      </c>
      <c r="I177" s="1246">
        <f t="shared" si="11"/>
        <v>21544763.892611764</v>
      </c>
      <c r="J177" s="1246">
        <f>SUM(O139:O144)</f>
        <v>-138436.252794</v>
      </c>
      <c r="K177" s="1246">
        <f t="shared" si="11"/>
        <v>21406327.639817763</v>
      </c>
      <c r="L177" s="1246">
        <f>SUM(O148:O152,O154:O155)</f>
        <v>-18695.311887</v>
      </c>
      <c r="M177" s="1246">
        <f t="shared" si="11"/>
        <v>21387632.327930763</v>
      </c>
    </row>
    <row r="178" spans="1:13" x14ac:dyDescent="0.35">
      <c r="A178" s="268" t="s">
        <v>1554</v>
      </c>
      <c r="D178" s="1242">
        <v>59171890.659999996</v>
      </c>
      <c r="E178" s="1242"/>
      <c r="F178" s="1242"/>
      <c r="G178" s="1242">
        <f t="shared" si="10"/>
        <v>59171890.659999996</v>
      </c>
      <c r="H178" s="1242">
        <f>'Common Adj'!$W$60</f>
        <v>-59171890.659999996</v>
      </c>
      <c r="I178" s="1242">
        <f t="shared" si="11"/>
        <v>0</v>
      </c>
      <c r="J178" s="1242"/>
      <c r="K178" s="1242">
        <f t="shared" si="11"/>
        <v>0</v>
      </c>
      <c r="L178" s="1242"/>
      <c r="M178" s="1242">
        <f t="shared" si="11"/>
        <v>0</v>
      </c>
    </row>
    <row r="179" spans="1:13" x14ac:dyDescent="0.35">
      <c r="A179" s="268" t="s">
        <v>1555</v>
      </c>
      <c r="D179" s="1242">
        <v>15988712.74</v>
      </c>
      <c r="E179" s="1242"/>
      <c r="F179" s="1242"/>
      <c r="G179" s="1242">
        <f t="shared" si="10"/>
        <v>15988712.74</v>
      </c>
      <c r="H179" s="1242">
        <f>-G179</f>
        <v>-15988712.74</v>
      </c>
      <c r="I179" s="1242">
        <f t="shared" si="11"/>
        <v>0</v>
      </c>
      <c r="J179" s="1242"/>
      <c r="K179" s="1242">
        <f t="shared" si="11"/>
        <v>0</v>
      </c>
      <c r="L179" s="1242"/>
      <c r="M179" s="1242">
        <f t="shared" si="11"/>
        <v>0</v>
      </c>
    </row>
    <row r="180" spans="1:13" x14ac:dyDescent="0.35">
      <c r="A180" s="268" t="s">
        <v>1556</v>
      </c>
      <c r="D180" s="1242">
        <v>4841065.3600000003</v>
      </c>
      <c r="E180" s="1242"/>
      <c r="F180" s="1242"/>
      <c r="G180" s="1242">
        <f t="shared" si="10"/>
        <v>4841065.3600000003</v>
      </c>
      <c r="H180" s="1242">
        <f>-G180</f>
        <v>-4841065.3600000003</v>
      </c>
      <c r="I180" s="1242">
        <f t="shared" si="11"/>
        <v>0</v>
      </c>
      <c r="J180" s="1242"/>
      <c r="K180" s="1242">
        <f t="shared" si="11"/>
        <v>0</v>
      </c>
      <c r="L180" s="1242"/>
      <c r="M180" s="1242">
        <f t="shared" si="11"/>
        <v>0</v>
      </c>
    </row>
    <row r="181" spans="1:13" x14ac:dyDescent="0.35">
      <c r="A181" s="268" t="s">
        <v>1550</v>
      </c>
      <c r="D181" s="1242"/>
      <c r="E181" s="1242">
        <f>D185*I3</f>
        <v>175709.55299999999</v>
      </c>
      <c r="F181" s="1242"/>
      <c r="G181" s="1242">
        <f t="shared" si="10"/>
        <v>175709.55299999999</v>
      </c>
      <c r="H181" s="1242"/>
      <c r="I181" s="1242">
        <f t="shared" si="11"/>
        <v>175709.55299999999</v>
      </c>
      <c r="J181" s="1242"/>
      <c r="K181" s="1242">
        <f t="shared" si="11"/>
        <v>175709.55299999999</v>
      </c>
      <c r="L181" s="1242"/>
      <c r="M181" s="1242">
        <f t="shared" si="11"/>
        <v>175709.55299999999</v>
      </c>
    </row>
    <row r="182" spans="1:13" x14ac:dyDescent="0.35">
      <c r="A182" s="1245" t="s">
        <v>1551</v>
      </c>
      <c r="D182" s="1242"/>
      <c r="E182" s="1242"/>
      <c r="F182" s="1242">
        <f>N114</f>
        <v>4514840.9500849983</v>
      </c>
      <c r="G182" s="1242">
        <f t="shared" si="10"/>
        <v>4514840.9500849983</v>
      </c>
      <c r="H182" s="1242">
        <f>SUM(N124:N137)</f>
        <v>67764.347317635213</v>
      </c>
      <c r="I182" s="1242">
        <f t="shared" si="11"/>
        <v>4582605.2974026334</v>
      </c>
      <c r="J182" s="1242">
        <f>N145+N141</f>
        <v>-1905856.5694674489</v>
      </c>
      <c r="K182" s="1242">
        <f t="shared" si="11"/>
        <v>2676748.7279351847</v>
      </c>
      <c r="L182" s="1242">
        <f>SUM(N148:N152,N154:N155)</f>
        <v>2190454.1537869186</v>
      </c>
      <c r="M182" s="1242">
        <f t="shared" si="11"/>
        <v>4867202.8817221038</v>
      </c>
    </row>
    <row r="183" spans="1:13" x14ac:dyDescent="0.35">
      <c r="A183" s="268" t="s">
        <v>1557</v>
      </c>
      <c r="D183" s="1246">
        <f>SUM(D177:D182)</f>
        <v>130493438.64999999</v>
      </c>
      <c r="E183" s="1246">
        <f>SUM(E177:E182)</f>
        <v>1178268.324</v>
      </c>
      <c r="F183" s="1246">
        <f>SUM(F177:F182)</f>
        <v>4514840.9500849983</v>
      </c>
      <c r="G183" s="1246">
        <f>SUM(G177:G182)</f>
        <v>136186547.92408499</v>
      </c>
      <c r="H183" s="1246">
        <f>SUM(H177:H182)</f>
        <v>-109883469.1810706</v>
      </c>
      <c r="I183" s="1246">
        <f t="shared" ref="I183:M183" si="15">SUM(I177:I182)</f>
        <v>26303078.743014395</v>
      </c>
      <c r="J183" s="1246">
        <f t="shared" si="15"/>
        <v>-2044292.8222614489</v>
      </c>
      <c r="K183" s="1246">
        <f t="shared" si="15"/>
        <v>24258785.920752946</v>
      </c>
      <c r="L183" s="1246">
        <f t="shared" si="15"/>
        <v>2171758.8418999184</v>
      </c>
      <c r="M183" s="1246">
        <f t="shared" si="15"/>
        <v>26430544.762652867</v>
      </c>
    </row>
    <row r="184" spans="1:13" x14ac:dyDescent="0.35">
      <c r="A184" s="268" t="s">
        <v>1558</v>
      </c>
      <c r="D184" s="1246">
        <v>2901762</v>
      </c>
      <c r="E184" s="1246">
        <f>-D184</f>
        <v>-2901762</v>
      </c>
      <c r="F184" s="1246"/>
      <c r="G184" s="1246">
        <f t="shared" si="10"/>
        <v>0</v>
      </c>
      <c r="H184" s="1246"/>
      <c r="I184" s="1246">
        <f t="shared" ref="I184:M186" si="16">SUM(G184:H184)</f>
        <v>0</v>
      </c>
      <c r="J184" s="1246"/>
      <c r="K184" s="1246">
        <f t="shared" si="16"/>
        <v>0</v>
      </c>
      <c r="L184" s="1246"/>
      <c r="M184" s="1246">
        <f t="shared" si="16"/>
        <v>0</v>
      </c>
    </row>
    <row r="185" spans="1:13" x14ac:dyDescent="0.35">
      <c r="A185" s="268" t="s">
        <v>1550</v>
      </c>
      <c r="D185" s="1242">
        <v>508566</v>
      </c>
      <c r="E185" s="1242">
        <f>-D185</f>
        <v>-508566</v>
      </c>
      <c r="F185" s="1242"/>
      <c r="G185" s="1242">
        <f t="shared" si="10"/>
        <v>0</v>
      </c>
      <c r="H185" s="1242"/>
      <c r="I185" s="1242">
        <f t="shared" si="16"/>
        <v>0</v>
      </c>
      <c r="J185" s="1242"/>
      <c r="K185" s="1242">
        <f t="shared" si="16"/>
        <v>0</v>
      </c>
      <c r="L185" s="1242"/>
      <c r="M185" s="1242">
        <f t="shared" si="16"/>
        <v>0</v>
      </c>
    </row>
    <row r="186" spans="1:13" x14ac:dyDescent="0.35">
      <c r="D186" s="1242"/>
      <c r="E186" s="1247"/>
      <c r="F186" s="1247"/>
      <c r="G186" s="1242">
        <f t="shared" si="10"/>
        <v>0</v>
      </c>
      <c r="H186" s="1242"/>
      <c r="I186" s="1242">
        <f t="shared" si="16"/>
        <v>0</v>
      </c>
      <c r="J186" s="1242"/>
      <c r="K186" s="1242">
        <f t="shared" si="16"/>
        <v>0</v>
      </c>
      <c r="L186" s="1242"/>
      <c r="M186" s="1242">
        <f t="shared" si="16"/>
        <v>0</v>
      </c>
    </row>
    <row r="187" spans="1:13" x14ac:dyDescent="0.35">
      <c r="A187" s="268" t="s">
        <v>1559</v>
      </c>
      <c r="D187" s="1246">
        <f>SUM(D184:D186)</f>
        <v>3410328</v>
      </c>
      <c r="E187" s="1246">
        <f>SUM(E184:E186)</f>
        <v>-3410328</v>
      </c>
      <c r="F187" s="1246">
        <f>SUM(F184:F186)</f>
        <v>0</v>
      </c>
      <c r="G187" s="1246">
        <f>SUM(G184:G186)</f>
        <v>0</v>
      </c>
      <c r="H187" s="1246">
        <f>SUM(H184:H186)</f>
        <v>0</v>
      </c>
      <c r="I187" s="1246">
        <f t="shared" ref="I187:M187" si="17">SUM(I184:I186)</f>
        <v>0</v>
      </c>
      <c r="J187" s="1246">
        <f t="shared" si="17"/>
        <v>0</v>
      </c>
      <c r="K187" s="1246">
        <f t="shared" si="17"/>
        <v>0</v>
      </c>
      <c r="L187" s="1246">
        <f t="shared" si="17"/>
        <v>0</v>
      </c>
      <c r="M187" s="1246">
        <f t="shared" si="17"/>
        <v>0</v>
      </c>
    </row>
    <row r="188" spans="1:13" ht="15" thickBot="1" x14ac:dyDescent="0.4">
      <c r="A188" s="268" t="s">
        <v>1560</v>
      </c>
      <c r="D188" s="1248">
        <f>D176+D183+D187</f>
        <v>388155704.84999996</v>
      </c>
      <c r="E188" s="1248">
        <f>E176+E183+E187</f>
        <v>0</v>
      </c>
      <c r="F188" s="1248">
        <f>F176+F183+F187</f>
        <v>15213264.07</v>
      </c>
      <c r="G188" s="1248">
        <f>G176+G183+G187</f>
        <v>403368968.92000002</v>
      </c>
      <c r="H188" s="1248">
        <f>H176+H183+H187</f>
        <v>-279245289.58570278</v>
      </c>
      <c r="I188" s="1248">
        <f t="shared" ref="I188:M188" si="18">I176+I183+I187</f>
        <v>124123679.33429725</v>
      </c>
      <c r="J188" s="1248">
        <f t="shared" si="18"/>
        <v>-3430678.4741889443</v>
      </c>
      <c r="K188" s="1248">
        <f t="shared" si="18"/>
        <v>120693000.8601083</v>
      </c>
      <c r="L188" s="1248">
        <f t="shared" si="18"/>
        <v>4592159.9306744747</v>
      </c>
      <c r="M188" s="1248">
        <f t="shared" si="18"/>
        <v>125285160.79078278</v>
      </c>
    </row>
    <row r="189" spans="1:13" ht="15" thickTop="1" x14ac:dyDescent="0.35"/>
    <row r="190" spans="1:13" x14ac:dyDescent="0.35">
      <c r="A190" s="268" t="s">
        <v>1561</v>
      </c>
      <c r="G190" s="1249">
        <f>L117-G176</f>
        <v>4.0849745273590088E-3</v>
      </c>
      <c r="H190" s="1249">
        <f>SUM(J124:K137)-H176</f>
        <v>0</v>
      </c>
      <c r="I190" s="1249">
        <f>L139-I176</f>
        <v>4.0849000215530396E-3</v>
      </c>
      <c r="J190" s="1249">
        <f>SUM(J141:K143,J145:K145)-J176</f>
        <v>0</v>
      </c>
      <c r="K190" s="1249">
        <f>L148-K176</f>
        <v>4.0849000215530396E-3</v>
      </c>
      <c r="L190" s="1249">
        <f>SUM(J148:K152,J154:K155)-L176</f>
        <v>0</v>
      </c>
      <c r="M190" s="1249">
        <f>L157-M176</f>
        <v>4.0849000215530396E-3</v>
      </c>
    </row>
    <row r="191" spans="1:13" x14ac:dyDescent="0.35">
      <c r="A191" s="268" t="s">
        <v>1562</v>
      </c>
      <c r="G191" s="1249">
        <f>P117-G183</f>
        <v>-4.0850043296813965E-3</v>
      </c>
      <c r="H191" s="1249">
        <f>SUM(N124:O137)-H183</f>
        <v>0</v>
      </c>
      <c r="I191" s="1249">
        <f>P139-I183</f>
        <v>-4.0850117802619934E-3</v>
      </c>
      <c r="J191" s="1249">
        <f>SUM(N139:O143,N145:O145)-J183</f>
        <v>0</v>
      </c>
      <c r="K191" s="1249">
        <f>P148-K183</f>
        <v>-4.0850117802619934E-3</v>
      </c>
      <c r="L191" s="1249">
        <f>SUM(N148:O152,N154:O155)-L183</f>
        <v>0</v>
      </c>
      <c r="M191" s="1249">
        <f>P157-M183</f>
        <v>-4.0850117802619934E-3</v>
      </c>
    </row>
    <row r="192" spans="1:13" x14ac:dyDescent="0.35">
      <c r="A192" s="268" t="s">
        <v>1563</v>
      </c>
      <c r="G192" s="1249">
        <f>Q117-G188</f>
        <v>0</v>
      </c>
      <c r="H192" s="1249">
        <f>SUM(J124:K137,N124:O137)-H188</f>
        <v>0</v>
      </c>
      <c r="I192" s="1249">
        <f>L139+P139-I188</f>
        <v>0</v>
      </c>
      <c r="J192" s="1249">
        <f>SUM(J141:O143,J145:O145)-J188</f>
        <v>0</v>
      </c>
      <c r="K192" s="1249">
        <f>L148+P148-K188</f>
        <v>0</v>
      </c>
      <c r="L192" s="1249">
        <f>SUM(J149:O152,J154:O155)-L188</f>
        <v>4.0849447250366211E-3</v>
      </c>
      <c r="M192" s="1249">
        <f>L157+P157-M188</f>
        <v>0</v>
      </c>
    </row>
  </sheetData>
  <pageMargins left="0.7" right="0.7" top="0.75" bottom="0.75" header="0.3" footer="0.3"/>
  <pageSetup orientation="portrait" horizontalDpi="4294967293"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H122"/>
  <sheetViews>
    <sheetView workbookViewId="0">
      <pane xSplit="2" ySplit="6" topLeftCell="C7" activePane="bottomRight" state="frozen"/>
      <selection activeCell="B159" sqref="B159"/>
      <selection pane="topRight" activeCell="B159" sqref="B159"/>
      <selection pane="bottomLeft" activeCell="B159" sqref="B159"/>
      <selection pane="bottomRight" activeCell="A104" sqref="A104"/>
    </sheetView>
  </sheetViews>
  <sheetFormatPr defaultRowHeight="14.5" x14ac:dyDescent="0.35"/>
  <cols>
    <col min="1" max="1" width="44" bestFit="1" customWidth="1"/>
    <col min="2" max="2" width="9.26953125" bestFit="1" customWidth="1"/>
    <col min="3" max="6" width="12.26953125" bestFit="1" customWidth="1"/>
    <col min="8" max="8" width="14.453125" bestFit="1" customWidth="1"/>
  </cols>
  <sheetData>
    <row r="1" spans="1:6" x14ac:dyDescent="0.35">
      <c r="A1" s="140" t="s">
        <v>1519</v>
      </c>
    </row>
    <row r="4" spans="1:6" x14ac:dyDescent="0.35">
      <c r="C4" s="1021"/>
      <c r="D4" s="1022"/>
      <c r="E4" s="1021"/>
      <c r="F4" s="1022"/>
    </row>
    <row r="5" spans="1:6" x14ac:dyDescent="0.35">
      <c r="C5" s="1023" t="s">
        <v>170</v>
      </c>
      <c r="D5" s="1024"/>
      <c r="E5" s="1023" t="s">
        <v>300</v>
      </c>
      <c r="F5" s="1024"/>
    </row>
    <row r="6" spans="1:6" x14ac:dyDescent="0.35">
      <c r="A6" s="1025" t="s">
        <v>1607</v>
      </c>
      <c r="B6" s="1026"/>
      <c r="C6" s="1027">
        <v>2025</v>
      </c>
      <c r="D6" s="1028">
        <v>2026</v>
      </c>
      <c r="E6" s="1027">
        <v>2025</v>
      </c>
      <c r="F6" s="1028">
        <v>2026</v>
      </c>
    </row>
    <row r="7" spans="1:6" x14ac:dyDescent="0.35">
      <c r="C7" s="1029"/>
      <c r="D7" s="1030"/>
      <c r="E7" s="1029"/>
      <c r="F7" s="1030"/>
    </row>
    <row r="8" spans="1:6" x14ac:dyDescent="0.35">
      <c r="A8" s="1031" t="s">
        <v>1608</v>
      </c>
      <c r="C8" s="1029"/>
      <c r="D8" s="1030"/>
      <c r="E8" s="1029"/>
      <c r="F8" s="1030"/>
    </row>
    <row r="9" spans="1:6" x14ac:dyDescent="0.35">
      <c r="A9" t="s">
        <v>1275</v>
      </c>
      <c r="B9" t="s">
        <v>892</v>
      </c>
      <c r="C9" s="1032">
        <v>728803.3131637437</v>
      </c>
      <c r="D9" s="1033">
        <f>C9</f>
        <v>728803.3131637437</v>
      </c>
      <c r="E9" s="1032">
        <f>SUM('Detailed Summary'!$E$34)</f>
        <v>123632.45326100978</v>
      </c>
      <c r="F9" s="1033">
        <f>E9</f>
        <v>123632.45326100978</v>
      </c>
    </row>
    <row r="10" spans="1:6" x14ac:dyDescent="0.35">
      <c r="B10" t="s">
        <v>1132</v>
      </c>
      <c r="C10" s="1032">
        <v>-1560989.5174161133</v>
      </c>
      <c r="D10" s="1033">
        <f t="shared" ref="D10:D12" si="0">C10</f>
        <v>-1560989.5174161133</v>
      </c>
      <c r="E10" s="1032">
        <f>SUM('Detailed Summary'!$E$95)</f>
        <v>-168750.04899203134</v>
      </c>
      <c r="F10" s="1033">
        <f t="shared" ref="F10:F12" si="1">E10</f>
        <v>-168750.04899203134</v>
      </c>
    </row>
    <row r="11" spans="1:6" x14ac:dyDescent="0.35">
      <c r="B11" t="s">
        <v>1609</v>
      </c>
      <c r="C11" s="1032">
        <v>92006.524539201899</v>
      </c>
      <c r="D11" s="1033">
        <f t="shared" si="0"/>
        <v>92006.524539201899</v>
      </c>
      <c r="E11" s="1032">
        <f>SUM('Detailed Summary'!$E$156)</f>
        <v>584.03692899999999</v>
      </c>
      <c r="F11" s="1033">
        <f t="shared" si="1"/>
        <v>584.03692899999999</v>
      </c>
    </row>
    <row r="12" spans="1:6" x14ac:dyDescent="0.35">
      <c r="B12" t="s">
        <v>1610</v>
      </c>
      <c r="C12" s="1032">
        <v>50695.494465012889</v>
      </c>
      <c r="D12" s="1033">
        <f t="shared" si="0"/>
        <v>50695.494465012889</v>
      </c>
      <c r="E12" s="1032">
        <f>'Detailed Summary'!$E$217</f>
        <v>-10419.933005999999</v>
      </c>
      <c r="F12" s="1033">
        <f t="shared" si="1"/>
        <v>-10419.933005999999</v>
      </c>
    </row>
    <row r="13" spans="1:6" x14ac:dyDescent="0.35">
      <c r="B13" t="s">
        <v>1611</v>
      </c>
      <c r="C13" s="1032"/>
      <c r="D13" s="1033">
        <v>176670.94779115092</v>
      </c>
      <c r="E13" s="1032"/>
      <c r="F13" s="1033">
        <f>'Detailed Summary'!$E$278</f>
        <v>-1407.1740130000001</v>
      </c>
    </row>
    <row r="14" spans="1:6" x14ac:dyDescent="0.35">
      <c r="A14" t="s">
        <v>1612</v>
      </c>
      <c r="C14" s="1034">
        <f>SUM(C9:C13)</f>
        <v>-689484.1852481548</v>
      </c>
      <c r="D14" s="1035">
        <f t="shared" ref="D14" si="2">SUM(D9:D13)</f>
        <v>-512813.23745700391</v>
      </c>
      <c r="E14" s="1034">
        <f>SUM(E9:E13)</f>
        <v>-54953.491808021558</v>
      </c>
      <c r="F14" s="1035">
        <f t="shared" ref="F14" si="3">SUM(F9:F13)</f>
        <v>-56360.665821021561</v>
      </c>
    </row>
    <row r="15" spans="1:6" x14ac:dyDescent="0.35">
      <c r="C15" s="1034"/>
      <c r="D15" s="1035"/>
      <c r="E15" s="1034"/>
      <c r="F15" s="1035"/>
    </row>
    <row r="16" spans="1:6" x14ac:dyDescent="0.35">
      <c r="A16" t="s">
        <v>1417</v>
      </c>
      <c r="B16" t="s">
        <v>892</v>
      </c>
      <c r="C16" s="1032">
        <v>-1845516.7465770189</v>
      </c>
      <c r="D16" s="1033">
        <f>C16</f>
        <v>-1845516.7465770189</v>
      </c>
      <c r="E16" s="1032">
        <f>SUM('Detailed Summary'!$F$34)</f>
        <v>-2072558.6235161237</v>
      </c>
      <c r="F16" s="1033">
        <f>E16</f>
        <v>-2072558.6235161237</v>
      </c>
    </row>
    <row r="17" spans="1:6" x14ac:dyDescent="0.35">
      <c r="B17" t="s">
        <v>1132</v>
      </c>
      <c r="C17" s="1032">
        <v>-97579.103275760004</v>
      </c>
      <c r="D17" s="1033">
        <f t="shared" ref="D17:D19" si="4">C17</f>
        <v>-97579.103275760004</v>
      </c>
      <c r="E17" s="1032">
        <f>SUM('Detailed Summary'!$F$95)</f>
        <v>0</v>
      </c>
      <c r="F17" s="1033">
        <f t="shared" ref="F17:F19" si="5">E17</f>
        <v>0</v>
      </c>
    </row>
    <row r="18" spans="1:6" x14ac:dyDescent="0.35">
      <c r="B18" t="s">
        <v>1609</v>
      </c>
      <c r="C18" s="1032">
        <v>0</v>
      </c>
      <c r="D18" s="1033">
        <f t="shared" si="4"/>
        <v>0</v>
      </c>
      <c r="E18" s="1032">
        <f>SUM('Detailed Summary'!$F$156)</f>
        <v>0</v>
      </c>
      <c r="F18" s="1033">
        <f t="shared" si="5"/>
        <v>0</v>
      </c>
    </row>
    <row r="19" spans="1:6" x14ac:dyDescent="0.35">
      <c r="B19" t="s">
        <v>1610</v>
      </c>
      <c r="C19" s="1032">
        <v>0</v>
      </c>
      <c r="D19" s="1033">
        <f t="shared" si="4"/>
        <v>0</v>
      </c>
      <c r="E19" s="1032">
        <f>'Detailed Summary'!$F$217</f>
        <v>0</v>
      </c>
      <c r="F19" s="1033">
        <f t="shared" si="5"/>
        <v>0</v>
      </c>
    </row>
    <row r="20" spans="1:6" x14ac:dyDescent="0.35">
      <c r="B20" t="s">
        <v>1611</v>
      </c>
      <c r="C20" s="1032"/>
      <c r="D20" s="1033">
        <v>0</v>
      </c>
      <c r="E20" s="1032"/>
      <c r="F20" s="1033">
        <f>'Detailed Summary'!$F$278</f>
        <v>0</v>
      </c>
    </row>
    <row r="21" spans="1:6" x14ac:dyDescent="0.35">
      <c r="C21" s="1034">
        <f>SUM(C16:C20)</f>
        <v>-1943095.8498527789</v>
      </c>
      <c r="D21" s="1035">
        <f t="shared" ref="D21" si="6">SUM(D16:D20)</f>
        <v>-1943095.8498527789</v>
      </c>
      <c r="E21" s="1034">
        <f>SUM(E16:E20)</f>
        <v>-2072558.6235161237</v>
      </c>
      <c r="F21" s="1035">
        <f t="shared" ref="F21" si="7">SUM(F16:F20)</f>
        <v>-2072558.6235161237</v>
      </c>
    </row>
    <row r="22" spans="1:6" x14ac:dyDescent="0.35">
      <c r="C22" s="1034"/>
      <c r="D22" s="1035"/>
      <c r="E22" s="1034"/>
      <c r="F22" s="1035"/>
    </row>
    <row r="23" spans="1:6" x14ac:dyDescent="0.35">
      <c r="A23" t="s">
        <v>1480</v>
      </c>
      <c r="B23" t="s">
        <v>892</v>
      </c>
      <c r="C23" s="1032">
        <v>-408308.20104000001</v>
      </c>
      <c r="D23" s="1033">
        <f>C23</f>
        <v>-408308.20104000001</v>
      </c>
      <c r="E23" s="1032">
        <f>SUM('Detailed Summary'!$G$34)</f>
        <v>-261.9135279405599</v>
      </c>
      <c r="F23" s="1033">
        <f>E23</f>
        <v>-261.9135279405599</v>
      </c>
    </row>
    <row r="24" spans="1:6" x14ac:dyDescent="0.35">
      <c r="B24" t="s">
        <v>1132</v>
      </c>
      <c r="C24" s="1032">
        <v>0</v>
      </c>
      <c r="D24" s="1033">
        <f t="shared" ref="D24:D26" si="8">C24</f>
        <v>0</v>
      </c>
      <c r="E24" s="1032">
        <f>SUM('Detailed Summary'!$G$95)</f>
        <v>-67810.879467156628</v>
      </c>
      <c r="F24" s="1033">
        <f t="shared" ref="F24:F26" si="9">E24</f>
        <v>-67810.879467156628</v>
      </c>
    </row>
    <row r="25" spans="1:6" x14ac:dyDescent="0.35">
      <c r="B25" t="s">
        <v>1609</v>
      </c>
      <c r="C25" s="1032">
        <v>0</v>
      </c>
      <c r="D25" s="1033">
        <f t="shared" si="8"/>
        <v>0</v>
      </c>
      <c r="E25" s="1032">
        <f>SUM('Detailed Summary'!$G$156)</f>
        <v>0</v>
      </c>
      <c r="F25" s="1033">
        <f t="shared" si="9"/>
        <v>0</v>
      </c>
    </row>
    <row r="26" spans="1:6" x14ac:dyDescent="0.35">
      <c r="B26" t="s">
        <v>1610</v>
      </c>
      <c r="C26" s="1032">
        <v>0</v>
      </c>
      <c r="D26" s="1033">
        <f t="shared" si="8"/>
        <v>0</v>
      </c>
      <c r="E26" s="1032">
        <f>'Detailed Summary'!$G$217</f>
        <v>0</v>
      </c>
      <c r="F26" s="1033">
        <f t="shared" si="9"/>
        <v>0</v>
      </c>
    </row>
    <row r="27" spans="1:6" x14ac:dyDescent="0.35">
      <c r="B27" t="s">
        <v>1611</v>
      </c>
      <c r="C27" s="1032"/>
      <c r="D27" s="1033">
        <v>0</v>
      </c>
      <c r="E27" s="1032"/>
      <c r="F27" s="1033">
        <f>'Detailed Summary'!$G$278</f>
        <v>0</v>
      </c>
    </row>
    <row r="28" spans="1:6" x14ac:dyDescent="0.35">
      <c r="C28" s="1034">
        <f>SUM(C23:C27)</f>
        <v>-408308.20104000001</v>
      </c>
      <c r="D28" s="1035">
        <f t="shared" ref="D28" si="10">SUM(D23:D27)</f>
        <v>-408308.20104000001</v>
      </c>
      <c r="E28" s="1034">
        <f>SUM(E23:E27)</f>
        <v>-68072.792995097188</v>
      </c>
      <c r="F28" s="1035">
        <f t="shared" ref="F28" si="11">SUM(F23:F27)</f>
        <v>-68072.792995097188</v>
      </c>
    </row>
    <row r="29" spans="1:6" x14ac:dyDescent="0.35">
      <c r="C29" s="1034"/>
      <c r="D29" s="1035"/>
      <c r="E29" s="1036"/>
      <c r="F29" s="1037"/>
    </row>
    <row r="30" spans="1:6" x14ac:dyDescent="0.35">
      <c r="A30" t="s">
        <v>1583</v>
      </c>
      <c r="B30" t="s">
        <v>892</v>
      </c>
      <c r="C30" s="1032">
        <v>-170410.89333087998</v>
      </c>
      <c r="D30" s="1033">
        <f>C30</f>
        <v>-170410.89333087998</v>
      </c>
      <c r="E30" s="1038"/>
      <c r="F30" s="1039"/>
    </row>
    <row r="31" spans="1:6" x14ac:dyDescent="0.35">
      <c r="B31" t="s">
        <v>1132</v>
      </c>
      <c r="C31" s="1032">
        <v>0</v>
      </c>
      <c r="D31" s="1033">
        <f t="shared" ref="D31:D33" si="12">C31</f>
        <v>0</v>
      </c>
      <c r="E31" s="1038"/>
      <c r="F31" s="1039"/>
    </row>
    <row r="32" spans="1:6" x14ac:dyDescent="0.35">
      <c r="B32" t="s">
        <v>1609</v>
      </c>
      <c r="C32" s="1032">
        <v>0</v>
      </c>
      <c r="D32" s="1033">
        <f t="shared" si="12"/>
        <v>0</v>
      </c>
      <c r="E32" s="1038"/>
      <c r="F32" s="1039"/>
    </row>
    <row r="33" spans="1:6" x14ac:dyDescent="0.35">
      <c r="B33" t="s">
        <v>1610</v>
      </c>
      <c r="C33" s="1032">
        <v>0</v>
      </c>
      <c r="D33" s="1033">
        <f t="shared" si="12"/>
        <v>0</v>
      </c>
      <c r="E33" s="1038"/>
      <c r="F33" s="1039"/>
    </row>
    <row r="34" spans="1:6" x14ac:dyDescent="0.35">
      <c r="B34" t="s">
        <v>1611</v>
      </c>
      <c r="C34" s="1032"/>
      <c r="D34" s="1033">
        <v>0</v>
      </c>
      <c r="E34" s="1038"/>
      <c r="F34" s="1039"/>
    </row>
    <row r="35" spans="1:6" x14ac:dyDescent="0.35">
      <c r="C35" s="1034">
        <f>SUM(C30:C34)</f>
        <v>-170410.89333087998</v>
      </c>
      <c r="D35" s="1035">
        <f t="shared" ref="D35" si="13">SUM(D30:D34)</f>
        <v>-170410.89333087998</v>
      </c>
      <c r="E35" s="1038"/>
      <c r="F35" s="1039"/>
    </row>
    <row r="36" spans="1:6" x14ac:dyDescent="0.35">
      <c r="C36" s="1034"/>
      <c r="D36" s="1035"/>
      <c r="E36" s="1038"/>
      <c r="F36" s="1039"/>
    </row>
    <row r="37" spans="1:6" x14ac:dyDescent="0.35">
      <c r="A37" t="s">
        <v>1584</v>
      </c>
      <c r="B37" t="s">
        <v>892</v>
      </c>
      <c r="C37" s="1032">
        <v>-13088.065407360002</v>
      </c>
      <c r="D37" s="1033">
        <f>C37</f>
        <v>-13088.065407360002</v>
      </c>
      <c r="E37" s="1038"/>
      <c r="F37" s="1039"/>
    </row>
    <row r="38" spans="1:6" x14ac:dyDescent="0.35">
      <c r="B38" t="s">
        <v>1132</v>
      </c>
      <c r="C38" s="1032">
        <v>0</v>
      </c>
      <c r="D38" s="1033">
        <f t="shared" ref="D38:D40" si="14">C38</f>
        <v>0</v>
      </c>
      <c r="E38" s="1038"/>
      <c r="F38" s="1039"/>
    </row>
    <row r="39" spans="1:6" x14ac:dyDescent="0.35">
      <c r="B39" t="s">
        <v>1609</v>
      </c>
      <c r="C39" s="1032">
        <v>0</v>
      </c>
      <c r="D39" s="1033">
        <f t="shared" si="14"/>
        <v>0</v>
      </c>
      <c r="E39" s="1038"/>
      <c r="F39" s="1039"/>
    </row>
    <row r="40" spans="1:6" x14ac:dyDescent="0.35">
      <c r="B40" t="s">
        <v>1610</v>
      </c>
      <c r="C40" s="1032">
        <v>0</v>
      </c>
      <c r="D40" s="1033">
        <f t="shared" si="14"/>
        <v>0</v>
      </c>
      <c r="E40" s="1038"/>
      <c r="F40" s="1039"/>
    </row>
    <row r="41" spans="1:6" x14ac:dyDescent="0.35">
      <c r="B41" t="s">
        <v>1611</v>
      </c>
      <c r="C41" s="1032"/>
      <c r="D41" s="1033">
        <v>0</v>
      </c>
      <c r="E41" s="1038"/>
      <c r="F41" s="1039"/>
    </row>
    <row r="42" spans="1:6" x14ac:dyDescent="0.35">
      <c r="C42" s="1034">
        <f>SUM(C37:C41)</f>
        <v>-13088.065407360002</v>
      </c>
      <c r="D42" s="1035">
        <f t="shared" ref="D42" si="15">SUM(D37:D41)</f>
        <v>-13088.065407360002</v>
      </c>
      <c r="E42" s="1038"/>
      <c r="F42" s="1039"/>
    </row>
    <row r="43" spans="1:6" x14ac:dyDescent="0.35">
      <c r="C43" s="1034"/>
      <c r="D43" s="1035"/>
      <c r="E43" s="1034"/>
      <c r="F43" s="1035"/>
    </row>
    <row r="44" spans="1:6" x14ac:dyDescent="0.35">
      <c r="A44" t="s">
        <v>1032</v>
      </c>
      <c r="B44" t="s">
        <v>892</v>
      </c>
      <c r="C44" s="1032">
        <v>-50135.465924799995</v>
      </c>
      <c r="D44" s="1033">
        <f>C44</f>
        <v>-50135.465924799995</v>
      </c>
      <c r="E44" s="1032">
        <f>SUM('Detailed Summary'!$AB$34)</f>
        <v>-11113.49148042</v>
      </c>
      <c r="F44" s="1033">
        <f>E44</f>
        <v>-11113.49148042</v>
      </c>
    </row>
    <row r="45" spans="1:6" x14ac:dyDescent="0.35">
      <c r="B45" t="s">
        <v>1132</v>
      </c>
      <c r="C45" s="1032">
        <v>0</v>
      </c>
      <c r="D45" s="1033">
        <f t="shared" ref="D45:D47" si="16">C45</f>
        <v>0</v>
      </c>
      <c r="E45" s="1032">
        <f>SUM('Detailed Summary'!$AB$98)</f>
        <v>0</v>
      </c>
      <c r="F45" s="1033">
        <f t="shared" ref="F45:F47" si="17">E45</f>
        <v>0</v>
      </c>
    </row>
    <row r="46" spans="1:6" x14ac:dyDescent="0.35">
      <c r="B46" t="s">
        <v>1609</v>
      </c>
      <c r="C46" s="1032">
        <v>0</v>
      </c>
      <c r="D46" s="1033">
        <f t="shared" si="16"/>
        <v>0</v>
      </c>
      <c r="E46" s="1032">
        <f>SUM('Detailed Summary'!$AB$159)</f>
        <v>0</v>
      </c>
      <c r="F46" s="1033">
        <f t="shared" si="17"/>
        <v>0</v>
      </c>
    </row>
    <row r="47" spans="1:6" x14ac:dyDescent="0.35">
      <c r="B47" t="s">
        <v>1610</v>
      </c>
      <c r="C47" s="1032">
        <v>0</v>
      </c>
      <c r="D47" s="1033">
        <f t="shared" si="16"/>
        <v>0</v>
      </c>
      <c r="E47" s="1032">
        <f>'Detailed Summary'!$AB$220</f>
        <v>0</v>
      </c>
      <c r="F47" s="1033">
        <f t="shared" si="17"/>
        <v>0</v>
      </c>
    </row>
    <row r="48" spans="1:6" x14ac:dyDescent="0.35">
      <c r="B48" t="s">
        <v>1611</v>
      </c>
      <c r="C48" s="1032"/>
      <c r="D48" s="1033">
        <v>0</v>
      </c>
      <c r="E48" s="1032"/>
      <c r="F48" s="1033">
        <f>'Detailed Summary'!$AB$281</f>
        <v>0</v>
      </c>
    </row>
    <row r="49" spans="1:6" x14ac:dyDescent="0.35">
      <c r="C49" s="1034">
        <f>SUM(C44:C48)</f>
        <v>-50135.465924799995</v>
      </c>
      <c r="D49" s="1035">
        <f t="shared" ref="D49" si="18">SUM(D44:D48)</f>
        <v>-50135.465924799995</v>
      </c>
      <c r="E49" s="1034">
        <f>SUM(E44:E48)</f>
        <v>-11113.49148042</v>
      </c>
      <c r="F49" s="1035">
        <f t="shared" ref="F49" si="19">SUM(F44:F48)</f>
        <v>-11113.49148042</v>
      </c>
    </row>
    <row r="50" spans="1:6" x14ac:dyDescent="0.35">
      <c r="C50" s="1034"/>
      <c r="D50" s="1035"/>
      <c r="E50" s="1034"/>
      <c r="F50" s="1035"/>
    </row>
    <row r="51" spans="1:6" x14ac:dyDescent="0.35">
      <c r="A51" t="s">
        <v>1639</v>
      </c>
      <c r="B51" t="s">
        <v>892</v>
      </c>
      <c r="C51" s="1032">
        <v>-277.10682695999998</v>
      </c>
      <c r="D51" s="1033">
        <f>C51</f>
        <v>-277.10682695999998</v>
      </c>
      <c r="E51" s="1032">
        <f>SUM('Detailed Summary'!$AK$34)</f>
        <v>0</v>
      </c>
      <c r="F51" s="1033">
        <f>E51</f>
        <v>0</v>
      </c>
    </row>
    <row r="52" spans="1:6" x14ac:dyDescent="0.35">
      <c r="B52" t="s">
        <v>1132</v>
      </c>
      <c r="C52" s="1032">
        <v>0</v>
      </c>
      <c r="D52" s="1033">
        <f t="shared" ref="D52:D54" si="20">C52</f>
        <v>0</v>
      </c>
      <c r="E52" s="1032">
        <f>'Gas Adj'!BI40</f>
        <v>-58054.486119000001</v>
      </c>
      <c r="F52" s="1033">
        <f t="shared" ref="F52:F54" si="21">E52</f>
        <v>-58054.486119000001</v>
      </c>
    </row>
    <row r="53" spans="1:6" x14ac:dyDescent="0.35">
      <c r="B53" t="s">
        <v>1609</v>
      </c>
      <c r="C53" s="1032">
        <v>0</v>
      </c>
      <c r="D53" s="1033">
        <f t="shared" si="20"/>
        <v>0</v>
      </c>
      <c r="E53" s="1032">
        <f>SUM('Detailed Summary'!$AK$159)</f>
        <v>0</v>
      </c>
      <c r="F53" s="1033">
        <f t="shared" si="21"/>
        <v>0</v>
      </c>
    </row>
    <row r="54" spans="1:6" x14ac:dyDescent="0.35">
      <c r="B54" t="s">
        <v>1610</v>
      </c>
      <c r="C54" s="1032">
        <v>0</v>
      </c>
      <c r="D54" s="1033">
        <f t="shared" si="20"/>
        <v>0</v>
      </c>
      <c r="E54" s="1032">
        <f>'Detailed Summary'!$AK$220</f>
        <v>0</v>
      </c>
      <c r="F54" s="1033">
        <f t="shared" si="21"/>
        <v>0</v>
      </c>
    </row>
    <row r="55" spans="1:6" x14ac:dyDescent="0.35">
      <c r="B55" t="s">
        <v>1611</v>
      </c>
      <c r="C55" s="1032"/>
      <c r="D55" s="1033">
        <v>0</v>
      </c>
      <c r="E55" s="1032"/>
      <c r="F55" s="1033">
        <f>'Detailed Summary'!$AK$281</f>
        <v>0</v>
      </c>
    </row>
    <row r="56" spans="1:6" x14ac:dyDescent="0.35">
      <c r="C56" s="1034">
        <f>SUM(C51:C55)</f>
        <v>-277.10682695999998</v>
      </c>
      <c r="D56" s="1035">
        <f t="shared" ref="D56" si="22">SUM(D51:D55)</f>
        <v>-277.10682695999998</v>
      </c>
      <c r="E56" s="1034">
        <f>SUM(E51:E55)</f>
        <v>-58054.486119000001</v>
      </c>
      <c r="F56" s="1035">
        <f t="shared" ref="F56" si="23">SUM(F51:F55)</f>
        <v>-58054.486119000001</v>
      </c>
    </row>
    <row r="57" spans="1:6" x14ac:dyDescent="0.35">
      <c r="C57" s="1034"/>
      <c r="D57" s="1035"/>
      <c r="E57" s="1036"/>
      <c r="F57" s="1037"/>
    </row>
    <row r="58" spans="1:6" x14ac:dyDescent="0.35">
      <c r="A58" t="s">
        <v>1585</v>
      </c>
      <c r="B58" t="s">
        <v>892</v>
      </c>
      <c r="C58" s="1032">
        <v>-261.40152</v>
      </c>
      <c r="D58" s="1033">
        <f>C58</f>
        <v>-261.40152</v>
      </c>
      <c r="E58" s="1038"/>
      <c r="F58" s="1039"/>
    </row>
    <row r="59" spans="1:6" x14ac:dyDescent="0.35">
      <c r="B59" t="s">
        <v>1132</v>
      </c>
      <c r="C59" s="1032">
        <v>0</v>
      </c>
      <c r="D59" s="1033">
        <f t="shared" ref="D59:D61" si="24">C59</f>
        <v>0</v>
      </c>
      <c r="E59" s="1038"/>
      <c r="F59" s="1039"/>
    </row>
    <row r="60" spans="1:6" x14ac:dyDescent="0.35">
      <c r="B60" t="s">
        <v>1609</v>
      </c>
      <c r="C60" s="1032">
        <v>0</v>
      </c>
      <c r="D60" s="1033">
        <f t="shared" si="24"/>
        <v>0</v>
      </c>
      <c r="E60" s="1038"/>
      <c r="F60" s="1039"/>
    </row>
    <row r="61" spans="1:6" x14ac:dyDescent="0.35">
      <c r="B61" t="s">
        <v>1610</v>
      </c>
      <c r="C61" s="1032">
        <v>0</v>
      </c>
      <c r="D61" s="1033">
        <f t="shared" si="24"/>
        <v>0</v>
      </c>
      <c r="E61" s="1038"/>
      <c r="F61" s="1039"/>
    </row>
    <row r="62" spans="1:6" x14ac:dyDescent="0.35">
      <c r="B62" t="s">
        <v>1611</v>
      </c>
      <c r="C62" s="1032"/>
      <c r="D62" s="1033">
        <v>0</v>
      </c>
      <c r="E62" s="1038"/>
      <c r="F62" s="1039"/>
    </row>
    <row r="63" spans="1:6" x14ac:dyDescent="0.35">
      <c r="C63" s="1034">
        <f>SUM(C58:C62)</f>
        <v>-261.40152</v>
      </c>
      <c r="D63" s="1035">
        <f t="shared" ref="D63" si="25">SUM(D58:D62)</f>
        <v>-261.40152</v>
      </c>
      <c r="E63" s="1040"/>
      <c r="F63" s="1041"/>
    </row>
    <row r="64" spans="1:6" x14ac:dyDescent="0.35">
      <c r="C64" s="1034"/>
      <c r="D64" s="1035"/>
      <c r="E64" s="1032"/>
      <c r="F64" s="1033"/>
    </row>
    <row r="65" spans="1:8" x14ac:dyDescent="0.35">
      <c r="C65" s="1032"/>
      <c r="D65" s="1033"/>
      <c r="E65" s="1032"/>
      <c r="F65" s="1033"/>
    </row>
    <row r="66" spans="1:8" x14ac:dyDescent="0.35">
      <c r="A66" s="1031" t="s">
        <v>1613</v>
      </c>
      <c r="C66" s="1032"/>
      <c r="D66" s="1033"/>
      <c r="E66" s="1032"/>
      <c r="F66" s="1033"/>
    </row>
    <row r="67" spans="1:8" x14ac:dyDescent="0.35">
      <c r="A67" t="s">
        <v>1275</v>
      </c>
      <c r="B67" t="s">
        <v>892</v>
      </c>
      <c r="C67" s="1032">
        <v>449323.86754854728</v>
      </c>
      <c r="D67" s="1033">
        <f>C67</f>
        <v>449323.86754854728</v>
      </c>
      <c r="E67" s="1032">
        <f>SUM('Detailed Summary'!$E$37)</f>
        <v>171058.39261295024</v>
      </c>
      <c r="F67" s="1033">
        <f>E67</f>
        <v>171058.39261295024</v>
      </c>
      <c r="H67" s="116">
        <f>C67/0.004</f>
        <v>112330966.88713682</v>
      </c>
    </row>
    <row r="68" spans="1:8" x14ac:dyDescent="0.35">
      <c r="B68" t="s">
        <v>1132</v>
      </c>
      <c r="C68" s="1032">
        <v>-962385.64575592685</v>
      </c>
      <c r="D68" s="1033">
        <f t="shared" ref="D68:D70" si="26">C68</f>
        <v>-962385.64575592685</v>
      </c>
      <c r="E68" s="1032">
        <f>SUM('Detailed Summary'!$E$98)</f>
        <v>-233483.29158357851</v>
      </c>
      <c r="F68" s="1033">
        <f t="shared" ref="F68:F70" si="27">E68</f>
        <v>-233483.29158357851</v>
      </c>
      <c r="H68" s="116"/>
    </row>
    <row r="69" spans="1:8" x14ac:dyDescent="0.35">
      <c r="B69" t="s">
        <v>1609</v>
      </c>
      <c r="C69" s="1032">
        <v>56724.121170901301</v>
      </c>
      <c r="D69" s="1033">
        <f t="shared" si="26"/>
        <v>56724.121170901301</v>
      </c>
      <c r="E69" s="1032">
        <f>SUM('Detailed Summary'!$E$159)</f>
        <v>808.07600000000002</v>
      </c>
      <c r="F69" s="1033">
        <f t="shared" si="27"/>
        <v>808.07600000000002</v>
      </c>
      <c r="H69" s="116"/>
    </row>
    <row r="70" spans="1:8" x14ac:dyDescent="0.35">
      <c r="B70" t="s">
        <v>1610</v>
      </c>
      <c r="C70" s="1032">
        <v>31254.928770044939</v>
      </c>
      <c r="D70" s="1033">
        <f t="shared" si="26"/>
        <v>31254.928770044939</v>
      </c>
      <c r="E70" s="1032">
        <f>'Detailed Summary'!$E$220</f>
        <v>-14417.064</v>
      </c>
      <c r="F70" s="1033">
        <f t="shared" si="27"/>
        <v>-14417.064</v>
      </c>
      <c r="H70" s="116"/>
    </row>
    <row r="71" spans="1:8" x14ac:dyDescent="0.35">
      <c r="B71" t="s">
        <v>1611</v>
      </c>
      <c r="C71" s="1032"/>
      <c r="D71" s="1033">
        <v>108921.6694150129</v>
      </c>
      <c r="E71" s="1032"/>
      <c r="F71" s="1033">
        <f>'Detailed Summary'!$E$281</f>
        <v>-1946.972</v>
      </c>
      <c r="H71" s="116"/>
    </row>
    <row r="72" spans="1:8" x14ac:dyDescent="0.35">
      <c r="C72" s="1034">
        <f>SUM(C67:C71)</f>
        <v>-425082.72826643335</v>
      </c>
      <c r="D72" s="1035">
        <f t="shared" ref="D72" si="28">SUM(D67:D71)</f>
        <v>-316161.05885142041</v>
      </c>
      <c r="E72" s="1034">
        <f>SUM(E67:E71)</f>
        <v>-76033.886970628271</v>
      </c>
      <c r="F72" s="1035">
        <f t="shared" ref="F72" si="29">SUM(F67:F71)</f>
        <v>-77980.858970628266</v>
      </c>
      <c r="H72" s="116"/>
    </row>
    <row r="73" spans="1:8" x14ac:dyDescent="0.35">
      <c r="C73" s="1034"/>
      <c r="D73" s="1035"/>
      <c r="E73" s="1034"/>
      <c r="F73" s="1035"/>
      <c r="H73" s="116"/>
    </row>
    <row r="74" spans="1:8" x14ac:dyDescent="0.35">
      <c r="A74" t="s">
        <v>1417</v>
      </c>
      <c r="B74" t="s">
        <v>892</v>
      </c>
      <c r="C74" s="1032">
        <v>-1137803.1729821325</v>
      </c>
      <c r="D74" s="1033">
        <f>C74</f>
        <v>-1137803.1729821325</v>
      </c>
      <c r="E74" s="1032">
        <f>'Common Adj'!W37</f>
        <v>-2867601.0010600123</v>
      </c>
      <c r="F74" s="1033">
        <f>E74</f>
        <v>-2867601.0010600123</v>
      </c>
      <c r="H74" s="116">
        <f>C74/0.004</f>
        <v>-284450793.24553311</v>
      </c>
    </row>
    <row r="75" spans="1:8" x14ac:dyDescent="0.35">
      <c r="B75" t="s">
        <v>1132</v>
      </c>
      <c r="C75" s="1032">
        <v>-60159.743080000007</v>
      </c>
      <c r="D75" s="1033">
        <f t="shared" ref="D75:D77" si="30">C75</f>
        <v>-60159.743080000007</v>
      </c>
      <c r="E75" s="1032">
        <f>SUM('Detailed Summary'!$F$98)</f>
        <v>0</v>
      </c>
      <c r="F75" s="1033">
        <f t="shared" ref="F75:F77" si="31">E75</f>
        <v>0</v>
      </c>
    </row>
    <row r="76" spans="1:8" x14ac:dyDescent="0.35">
      <c r="B76" t="s">
        <v>1609</v>
      </c>
      <c r="C76" s="1032">
        <v>0</v>
      </c>
      <c r="D76" s="1033">
        <f t="shared" si="30"/>
        <v>0</v>
      </c>
      <c r="E76" s="1032">
        <f>SUM('Detailed Summary'!$F$159)</f>
        <v>0</v>
      </c>
      <c r="F76" s="1033">
        <f t="shared" si="31"/>
        <v>0</v>
      </c>
    </row>
    <row r="77" spans="1:8" x14ac:dyDescent="0.35">
      <c r="B77" t="s">
        <v>1610</v>
      </c>
      <c r="C77" s="1032">
        <v>0</v>
      </c>
      <c r="D77" s="1033">
        <f t="shared" si="30"/>
        <v>0</v>
      </c>
      <c r="E77" s="1032">
        <f>'Detailed Summary'!$F$220</f>
        <v>0</v>
      </c>
      <c r="F77" s="1033">
        <f t="shared" si="31"/>
        <v>0</v>
      </c>
    </row>
    <row r="78" spans="1:8" x14ac:dyDescent="0.35">
      <c r="B78" t="s">
        <v>1611</v>
      </c>
      <c r="C78" s="1032"/>
      <c r="D78" s="1033">
        <v>0</v>
      </c>
      <c r="E78" s="1032"/>
      <c r="F78" s="1033">
        <f>'Detailed Summary'!$F$281</f>
        <v>0</v>
      </c>
    </row>
    <row r="79" spans="1:8" x14ac:dyDescent="0.35">
      <c r="C79" s="1034">
        <f>SUM(C74:C78)</f>
        <v>-1197962.9160621325</v>
      </c>
      <c r="D79" s="1035">
        <f t="shared" ref="D79" si="32">SUM(D74:D78)</f>
        <v>-1197962.9160621325</v>
      </c>
      <c r="E79" s="1034">
        <f>SUM(E74:E78)</f>
        <v>-2867601.0010600123</v>
      </c>
      <c r="F79" s="1035">
        <f t="shared" ref="F79" si="33">SUM(F74:F78)</f>
        <v>-2867601.0010600123</v>
      </c>
    </row>
    <row r="80" spans="1:8" x14ac:dyDescent="0.35">
      <c r="C80" s="1034"/>
      <c r="D80" s="1035"/>
      <c r="E80" s="1034"/>
      <c r="F80" s="1035"/>
    </row>
    <row r="81" spans="1:8" x14ac:dyDescent="0.35">
      <c r="A81" t="s">
        <v>1480</v>
      </c>
      <c r="B81" t="s">
        <v>892</v>
      </c>
      <c r="C81" s="1032">
        <v>-251731.32</v>
      </c>
      <c r="D81" s="1033">
        <f>C81</f>
        <v>-251731.32</v>
      </c>
      <c r="E81" s="1032">
        <f>SUM('Detailed Summary'!$G$37)</f>
        <v>-362.38468065106872</v>
      </c>
      <c r="F81" s="1033">
        <f>E81</f>
        <v>-362.38468065106872</v>
      </c>
      <c r="H81" s="116">
        <f>C81/0.004</f>
        <v>-62932830</v>
      </c>
    </row>
    <row r="82" spans="1:8" x14ac:dyDescent="0.35">
      <c r="B82" t="s">
        <v>1132</v>
      </c>
      <c r="C82" s="1032">
        <v>0</v>
      </c>
      <c r="D82" s="1033">
        <f t="shared" ref="D82:D84" si="34">C82</f>
        <v>0</v>
      </c>
      <c r="E82" s="1032">
        <f>SUM('Detailed Summary'!$G$98)</f>
        <v>-93823.423683371337</v>
      </c>
      <c r="F82" s="1033">
        <f t="shared" ref="F82:F84" si="35">E82</f>
        <v>-93823.423683371337</v>
      </c>
    </row>
    <row r="83" spans="1:8" x14ac:dyDescent="0.35">
      <c r="B83" t="s">
        <v>1609</v>
      </c>
      <c r="C83" s="1032">
        <v>0</v>
      </c>
      <c r="D83" s="1033">
        <f t="shared" si="34"/>
        <v>0</v>
      </c>
      <c r="E83" s="1032">
        <f>SUM('Detailed Summary'!$G$159)</f>
        <v>0</v>
      </c>
      <c r="F83" s="1033">
        <f t="shared" si="35"/>
        <v>0</v>
      </c>
    </row>
    <row r="84" spans="1:8" x14ac:dyDescent="0.35">
      <c r="B84" t="s">
        <v>1610</v>
      </c>
      <c r="C84" s="1032">
        <v>0</v>
      </c>
      <c r="D84" s="1033">
        <f t="shared" si="34"/>
        <v>0</v>
      </c>
      <c r="E84" s="1032">
        <f>'Detailed Summary'!$G$220</f>
        <v>0</v>
      </c>
      <c r="F84" s="1033">
        <f t="shared" si="35"/>
        <v>0</v>
      </c>
    </row>
    <row r="85" spans="1:8" x14ac:dyDescent="0.35">
      <c r="B85" t="s">
        <v>1611</v>
      </c>
      <c r="C85" s="1032"/>
      <c r="D85" s="1033">
        <v>0</v>
      </c>
      <c r="E85" s="1032"/>
      <c r="F85" s="1033">
        <f>'Detailed Summary'!$G$281</f>
        <v>0</v>
      </c>
    </row>
    <row r="86" spans="1:8" x14ac:dyDescent="0.35">
      <c r="C86" s="1034">
        <f>SUM(C81:C85)</f>
        <v>-251731.32</v>
      </c>
      <c r="D86" s="1035">
        <f t="shared" ref="D86" si="36">SUM(D81:D85)</f>
        <v>-251731.32</v>
      </c>
      <c r="E86" s="1034">
        <f>SUM(E81:E85)</f>
        <v>-94185.808364022407</v>
      </c>
      <c r="F86" s="1035">
        <f t="shared" ref="F86" si="37">SUM(F81:F85)</f>
        <v>-94185.808364022407</v>
      </c>
    </row>
    <row r="87" spans="1:8" x14ac:dyDescent="0.35">
      <c r="C87" s="1034"/>
      <c r="D87" s="1035"/>
      <c r="E87" s="1036"/>
      <c r="F87" s="1037"/>
    </row>
    <row r="88" spans="1:8" x14ac:dyDescent="0.35">
      <c r="A88" t="s">
        <v>1583</v>
      </c>
      <c r="B88" t="s">
        <v>892</v>
      </c>
      <c r="C88" s="1032">
        <v>-105062.20303999999</v>
      </c>
      <c r="D88" s="1033">
        <f>C88</f>
        <v>-105062.20303999999</v>
      </c>
      <c r="E88" s="1038"/>
      <c r="F88" s="1039"/>
      <c r="H88" s="116">
        <f>C88/0.004</f>
        <v>-26265550.759999998</v>
      </c>
    </row>
    <row r="89" spans="1:8" x14ac:dyDescent="0.35">
      <c r="B89" t="s">
        <v>1132</v>
      </c>
      <c r="C89" s="1032">
        <v>0</v>
      </c>
      <c r="D89" s="1033">
        <f t="shared" ref="D89:D91" si="38">C89</f>
        <v>0</v>
      </c>
      <c r="E89" s="1038"/>
      <c r="F89" s="1039"/>
    </row>
    <row r="90" spans="1:8" x14ac:dyDescent="0.35">
      <c r="B90" t="s">
        <v>1609</v>
      </c>
      <c r="C90" s="1032">
        <v>0</v>
      </c>
      <c r="D90" s="1033">
        <f t="shared" si="38"/>
        <v>0</v>
      </c>
      <c r="E90" s="1038"/>
      <c r="F90" s="1039"/>
    </row>
    <row r="91" spans="1:8" x14ac:dyDescent="0.35">
      <c r="B91" t="s">
        <v>1610</v>
      </c>
      <c r="C91" s="1032">
        <v>0</v>
      </c>
      <c r="D91" s="1033">
        <f t="shared" si="38"/>
        <v>0</v>
      </c>
      <c r="E91" s="1038"/>
      <c r="F91" s="1039"/>
    </row>
    <row r="92" spans="1:8" x14ac:dyDescent="0.35">
      <c r="B92" t="s">
        <v>1611</v>
      </c>
      <c r="C92" s="1032"/>
      <c r="D92" s="1033">
        <v>0</v>
      </c>
      <c r="E92" s="1038"/>
      <c r="F92" s="1039"/>
    </row>
    <row r="93" spans="1:8" x14ac:dyDescent="0.35">
      <c r="C93" s="1034">
        <f>SUM(C88:C92)</f>
        <v>-105062.20303999999</v>
      </c>
      <c r="D93" s="1035">
        <f t="shared" ref="D93" si="39">SUM(D88:D92)</f>
        <v>-105062.20303999999</v>
      </c>
      <c r="E93" s="1038"/>
      <c r="F93" s="1039"/>
    </row>
    <row r="94" spans="1:8" x14ac:dyDescent="0.35">
      <c r="C94" s="1034"/>
      <c r="D94" s="1035"/>
      <c r="E94" s="1038"/>
      <c r="F94" s="1039"/>
    </row>
    <row r="95" spans="1:8" x14ac:dyDescent="0.35">
      <c r="A95" t="s">
        <v>1584</v>
      </c>
      <c r="B95" t="s">
        <v>892</v>
      </c>
      <c r="C95" s="1032">
        <v>-8069.0908800000007</v>
      </c>
      <c r="D95" s="1033">
        <f>C95</f>
        <v>-8069.0908800000007</v>
      </c>
      <c r="E95" s="1038"/>
      <c r="F95" s="1039"/>
      <c r="H95" s="116">
        <f>C95/0.004</f>
        <v>-2017272.7200000002</v>
      </c>
    </row>
    <row r="96" spans="1:8" x14ac:dyDescent="0.35">
      <c r="B96" t="s">
        <v>1132</v>
      </c>
      <c r="C96" s="1032">
        <v>0</v>
      </c>
      <c r="D96" s="1033">
        <f t="shared" ref="D96:D98" si="40">C96</f>
        <v>0</v>
      </c>
      <c r="E96" s="1038"/>
      <c r="F96" s="1039"/>
    </row>
    <row r="97" spans="1:8" x14ac:dyDescent="0.35">
      <c r="B97" t="s">
        <v>1609</v>
      </c>
      <c r="C97" s="1032">
        <v>0</v>
      </c>
      <c r="D97" s="1033">
        <f t="shared" si="40"/>
        <v>0</v>
      </c>
      <c r="E97" s="1038"/>
      <c r="F97" s="1039"/>
    </row>
    <row r="98" spans="1:8" x14ac:dyDescent="0.35">
      <c r="B98" t="s">
        <v>1610</v>
      </c>
      <c r="C98" s="1032">
        <v>0</v>
      </c>
      <c r="D98" s="1033">
        <f t="shared" si="40"/>
        <v>0</v>
      </c>
      <c r="E98" s="1038"/>
      <c r="F98" s="1039"/>
    </row>
    <row r="99" spans="1:8" x14ac:dyDescent="0.35">
      <c r="B99" t="s">
        <v>1611</v>
      </c>
      <c r="C99" s="1032"/>
      <c r="D99" s="1033">
        <v>0</v>
      </c>
      <c r="E99" s="1038"/>
      <c r="F99" s="1039"/>
    </row>
    <row r="100" spans="1:8" x14ac:dyDescent="0.35">
      <c r="C100" s="1034">
        <f>SUM(C95:C99)</f>
        <v>-8069.0908800000007</v>
      </c>
      <c r="D100" s="1035">
        <f t="shared" ref="D100" si="41">SUM(D95:D99)</f>
        <v>-8069.0908800000007</v>
      </c>
      <c r="E100" s="1038"/>
      <c r="F100" s="1039"/>
    </row>
    <row r="101" spans="1:8" x14ac:dyDescent="0.35">
      <c r="C101" s="1034"/>
      <c r="D101" s="1035"/>
      <c r="E101" s="1034"/>
      <c r="F101" s="1035"/>
    </row>
    <row r="102" spans="1:8" x14ac:dyDescent="0.35">
      <c r="A102" t="s">
        <v>1614</v>
      </c>
      <c r="B102" t="s">
        <v>892</v>
      </c>
      <c r="C102" s="1032">
        <v>-30909.6584</v>
      </c>
      <c r="D102" s="1033">
        <f>C102</f>
        <v>-30909.6584</v>
      </c>
      <c r="E102" s="1032">
        <f>SUM('Detailed Summary'!$AB$37)</f>
        <v>-15376.674480000001</v>
      </c>
      <c r="F102" s="1033">
        <f>E102</f>
        <v>-15376.674480000001</v>
      </c>
      <c r="H102" s="116">
        <f>C102/0.004</f>
        <v>-7727414.5999999996</v>
      </c>
    </row>
    <row r="103" spans="1:8" x14ac:dyDescent="0.35">
      <c r="B103" t="s">
        <v>1132</v>
      </c>
      <c r="C103" s="1032">
        <v>0</v>
      </c>
      <c r="D103" s="1033">
        <f t="shared" ref="D103:D105" si="42">C103</f>
        <v>0</v>
      </c>
      <c r="E103" s="1032">
        <f>SUM('Detailed Summary'!$AB$98)</f>
        <v>0</v>
      </c>
      <c r="F103" s="1033">
        <f t="shared" ref="F103:F105" si="43">E103</f>
        <v>0</v>
      </c>
    </row>
    <row r="104" spans="1:8" x14ac:dyDescent="0.35">
      <c r="B104" t="s">
        <v>1609</v>
      </c>
      <c r="C104" s="1032">
        <v>0</v>
      </c>
      <c r="D104" s="1033">
        <f t="shared" si="42"/>
        <v>0</v>
      </c>
      <c r="E104" s="1032">
        <f>SUM('Detailed Summary'!$AB$159)</f>
        <v>0</v>
      </c>
      <c r="F104" s="1033">
        <f t="shared" si="43"/>
        <v>0</v>
      </c>
    </row>
    <row r="105" spans="1:8" x14ac:dyDescent="0.35">
      <c r="B105" t="s">
        <v>1610</v>
      </c>
      <c r="C105" s="1032">
        <v>0</v>
      </c>
      <c r="D105" s="1033">
        <f t="shared" si="42"/>
        <v>0</v>
      </c>
      <c r="E105" s="1032">
        <f>'Detailed Summary'!$AB$220</f>
        <v>0</v>
      </c>
      <c r="F105" s="1033">
        <f t="shared" si="43"/>
        <v>0</v>
      </c>
    </row>
    <row r="106" spans="1:8" x14ac:dyDescent="0.35">
      <c r="B106" t="s">
        <v>1611</v>
      </c>
      <c r="C106" s="1032"/>
      <c r="D106" s="1033">
        <v>0</v>
      </c>
      <c r="E106" s="1032"/>
      <c r="F106" s="1033">
        <f>'Detailed Summary'!$AB$281</f>
        <v>0</v>
      </c>
    </row>
    <row r="107" spans="1:8" x14ac:dyDescent="0.35">
      <c r="C107" s="1034">
        <f>SUM(C102:C106)</f>
        <v>-30909.6584</v>
      </c>
      <c r="D107" s="1035">
        <f t="shared" ref="D107" si="44">SUM(D102:D106)</f>
        <v>-30909.6584</v>
      </c>
      <c r="E107" s="1034">
        <f>SUM(E102:E106)</f>
        <v>-15376.674480000001</v>
      </c>
      <c r="F107" s="1035">
        <f t="shared" ref="F107" si="45">SUM(F102:F106)</f>
        <v>-15376.674480000001</v>
      </c>
    </row>
    <row r="108" spans="1:8" x14ac:dyDescent="0.35">
      <c r="C108" s="1034"/>
      <c r="D108" s="1035"/>
      <c r="E108" s="1034"/>
      <c r="F108" s="1035"/>
    </row>
    <row r="109" spans="1:8" x14ac:dyDescent="0.35">
      <c r="A109" t="s">
        <v>1616</v>
      </c>
      <c r="B109" t="s">
        <v>892</v>
      </c>
      <c r="C109" s="1032">
        <v>-170.84268</v>
      </c>
      <c r="D109" s="1033">
        <f>C109</f>
        <v>-170.84268</v>
      </c>
      <c r="E109" s="1032">
        <f>SUM('Detailed Summary'!$AK$37)</f>
        <v>0</v>
      </c>
      <c r="F109" s="1033">
        <f>E109</f>
        <v>0</v>
      </c>
    </row>
    <row r="110" spans="1:8" x14ac:dyDescent="0.35">
      <c r="B110" t="s">
        <v>1132</v>
      </c>
      <c r="C110" s="1032">
        <v>0</v>
      </c>
      <c r="D110" s="1033">
        <f t="shared" ref="D110:D112" si="46">C110</f>
        <v>0</v>
      </c>
      <c r="E110" s="1032">
        <f>'Gas Adj'!BI41</f>
        <v>-80324.436000000002</v>
      </c>
      <c r="F110" s="1033">
        <f t="shared" ref="F110:F112" si="47">E110</f>
        <v>-80324.436000000002</v>
      </c>
    </row>
    <row r="111" spans="1:8" x14ac:dyDescent="0.35">
      <c r="B111" t="s">
        <v>1609</v>
      </c>
      <c r="C111" s="1032">
        <v>0</v>
      </c>
      <c r="D111" s="1033">
        <f t="shared" si="46"/>
        <v>0</v>
      </c>
      <c r="E111" s="1032"/>
      <c r="F111" s="1033">
        <f t="shared" si="47"/>
        <v>0</v>
      </c>
    </row>
    <row r="112" spans="1:8" x14ac:dyDescent="0.35">
      <c r="B112" t="s">
        <v>1610</v>
      </c>
      <c r="C112" s="1032">
        <v>0</v>
      </c>
      <c r="D112" s="1033">
        <f t="shared" si="46"/>
        <v>0</v>
      </c>
      <c r="E112" s="1032"/>
      <c r="F112" s="1033">
        <f t="shared" si="47"/>
        <v>0</v>
      </c>
    </row>
    <row r="113" spans="1:8" x14ac:dyDescent="0.35">
      <c r="B113" t="s">
        <v>1611</v>
      </c>
      <c r="C113" s="1032"/>
      <c r="D113" s="1033">
        <v>0</v>
      </c>
      <c r="E113" s="1032"/>
      <c r="F113" s="1033">
        <v>0</v>
      </c>
    </row>
    <row r="114" spans="1:8" x14ac:dyDescent="0.35">
      <c r="C114" s="1034">
        <f>SUM(C109:C113)</f>
        <v>-170.84268</v>
      </c>
      <c r="D114" s="1035">
        <f t="shared" ref="D114:F114" si="48">SUM(D109:D113)</f>
        <v>-170.84268</v>
      </c>
      <c r="E114" s="1034">
        <f>SUM(E109:E113)</f>
        <v>-80324.436000000002</v>
      </c>
      <c r="F114" s="1035">
        <f t="shared" si="48"/>
        <v>-80324.436000000002</v>
      </c>
    </row>
    <row r="115" spans="1:8" x14ac:dyDescent="0.35">
      <c r="C115" s="1034"/>
      <c r="D115" s="1035"/>
      <c r="E115" s="1038"/>
      <c r="F115" s="1039"/>
    </row>
    <row r="116" spans="1:8" x14ac:dyDescent="0.35">
      <c r="A116" t="s">
        <v>1585</v>
      </c>
      <c r="B116" t="s">
        <v>892</v>
      </c>
      <c r="C116" s="1032">
        <v>-161.16</v>
      </c>
      <c r="D116" s="1033">
        <f>C116</f>
        <v>-161.16</v>
      </c>
      <c r="E116" s="1038"/>
      <c r="F116" s="1039"/>
      <c r="H116" s="116">
        <f>C116/0.004</f>
        <v>-40290</v>
      </c>
    </row>
    <row r="117" spans="1:8" x14ac:dyDescent="0.35">
      <c r="B117" t="s">
        <v>1132</v>
      </c>
      <c r="C117" s="1032">
        <v>0</v>
      </c>
      <c r="D117" s="1033">
        <f>C117</f>
        <v>0</v>
      </c>
      <c r="E117" s="1038"/>
      <c r="F117" s="1039"/>
    </row>
    <row r="118" spans="1:8" x14ac:dyDescent="0.35">
      <c r="B118" t="s">
        <v>1609</v>
      </c>
      <c r="C118" s="1032">
        <v>0</v>
      </c>
      <c r="D118" s="1033">
        <f t="shared" ref="D118:D119" si="49">C118</f>
        <v>0</v>
      </c>
      <c r="E118" s="1038"/>
      <c r="F118" s="1039"/>
    </row>
    <row r="119" spans="1:8" x14ac:dyDescent="0.35">
      <c r="B119" t="s">
        <v>1610</v>
      </c>
      <c r="C119" s="1032">
        <v>0</v>
      </c>
      <c r="D119" s="1033">
        <f t="shared" si="49"/>
        <v>0</v>
      </c>
      <c r="E119" s="1038"/>
      <c r="F119" s="1039"/>
    </row>
    <row r="120" spans="1:8" x14ac:dyDescent="0.35">
      <c r="B120" t="s">
        <v>1611</v>
      </c>
      <c r="C120" s="1032"/>
      <c r="D120" s="1033">
        <v>0</v>
      </c>
      <c r="E120" s="1038"/>
      <c r="F120" s="1039"/>
    </row>
    <row r="121" spans="1:8" x14ac:dyDescent="0.35">
      <c r="C121" s="1042">
        <f>SUM(C116:C120)</f>
        <v>-161.16</v>
      </c>
      <c r="D121" s="1042">
        <f>SUM(D116:D120)</f>
        <v>-161.16</v>
      </c>
      <c r="E121" s="1038"/>
      <c r="F121" s="1039"/>
    </row>
    <row r="122" spans="1:8" x14ac:dyDescent="0.35">
      <c r="C122" s="1042">
        <f>SUM(C117:C121)</f>
        <v>-161.16</v>
      </c>
      <c r="D122" s="1043">
        <f t="shared" ref="D122" si="50">SUM(D117:D121)</f>
        <v>-161.16</v>
      </c>
      <c r="E122" s="1040"/>
      <c r="F122" s="1041"/>
    </row>
  </sheetData>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J56"/>
  <sheetViews>
    <sheetView workbookViewId="0">
      <selection activeCell="E9" sqref="E9"/>
    </sheetView>
  </sheetViews>
  <sheetFormatPr defaultColWidth="9.26953125" defaultRowHeight="13" x14ac:dyDescent="0.3"/>
  <cols>
    <col min="1" max="1" width="6.26953125" style="1" customWidth="1"/>
    <col min="2" max="2" width="53.7265625" style="1" bestFit="1" customWidth="1"/>
    <col min="3" max="3" width="3.54296875" style="1" customWidth="1"/>
    <col min="4" max="5" width="15.7265625" style="1" bestFit="1" customWidth="1"/>
    <col min="6" max="6" width="14.7265625" style="1" bestFit="1" customWidth="1"/>
    <col min="7" max="7" width="9.26953125" style="1"/>
    <col min="8" max="10" width="11.54296875" style="1" bestFit="1" customWidth="1"/>
    <col min="11" max="16384" width="9.26953125" style="1"/>
  </cols>
  <sheetData>
    <row r="1" spans="1:10" x14ac:dyDescent="0.3">
      <c r="A1" s="3" t="s">
        <v>848</v>
      </c>
    </row>
    <row r="2" spans="1:10" x14ac:dyDescent="0.3">
      <c r="A2" s="3" t="s">
        <v>1803</v>
      </c>
    </row>
    <row r="3" spans="1:10" x14ac:dyDescent="0.3">
      <c r="A3" s="3" t="s">
        <v>849</v>
      </c>
    </row>
    <row r="4" spans="1:10" x14ac:dyDescent="0.3">
      <c r="A4" s="3"/>
    </row>
    <row r="5" spans="1:10" x14ac:dyDescent="0.3">
      <c r="A5" s="223" t="s">
        <v>1019</v>
      </c>
    </row>
    <row r="7" spans="1:10" ht="14.5" x14ac:dyDescent="0.35">
      <c r="A7" s="128" t="s">
        <v>7</v>
      </c>
      <c r="B7" s="128" t="s">
        <v>850</v>
      </c>
      <c r="D7" s="128">
        <v>2025</v>
      </c>
      <c r="E7" s="128">
        <v>2026</v>
      </c>
      <c r="F7"/>
    </row>
    <row r="8" spans="1:10" ht="14.5" x14ac:dyDescent="0.35">
      <c r="F8"/>
    </row>
    <row r="9" spans="1:10" ht="14.5" x14ac:dyDescent="0.35">
      <c r="A9" s="2">
        <f>ROW()</f>
        <v>9</v>
      </c>
      <c r="B9" s="1" t="s">
        <v>846</v>
      </c>
      <c r="D9" s="497">
        <f>+'Def, COC, ConvF DPK-7 '!K24</f>
        <v>2.75E-2</v>
      </c>
      <c r="E9" s="497">
        <f>+'Def, COC, ConvF DPK-7 '!K36</f>
        <v>2.7699999999999999E-2</v>
      </c>
      <c r="F9"/>
    </row>
    <row r="10" spans="1:10" ht="14.5" x14ac:dyDescent="0.35">
      <c r="A10" s="2">
        <f>ROW()</f>
        <v>10</v>
      </c>
      <c r="B10" s="1" t="s">
        <v>847</v>
      </c>
      <c r="D10" s="497">
        <f>+'Def, COC, ConvF DPK-7 '!K27</f>
        <v>7.3575000000000002E-2</v>
      </c>
      <c r="E10" s="497">
        <f>+'Def, COC, ConvF DPK-7 '!K39</f>
        <v>7.3700000000000002E-2</v>
      </c>
      <c r="F10"/>
    </row>
    <row r="11" spans="1:10" ht="14.5" x14ac:dyDescent="0.35">
      <c r="A11" s="2">
        <f>ROW()</f>
        <v>11</v>
      </c>
      <c r="B11" s="1" t="s">
        <v>851</v>
      </c>
      <c r="D11" s="497">
        <f>+'Def, COC, ConvF DPK-7 '!O19</f>
        <v>0.21</v>
      </c>
      <c r="E11" s="497">
        <f t="shared" ref="E11" si="0">D11</f>
        <v>0.21</v>
      </c>
      <c r="F11"/>
    </row>
    <row r="12" spans="1:10" ht="14.5" x14ac:dyDescent="0.35">
      <c r="A12" s="2">
        <f>ROW()</f>
        <v>12</v>
      </c>
      <c r="B12" s="1" t="s">
        <v>852</v>
      </c>
      <c r="D12" s="497">
        <f>+'Def, COC, ConvF DPK-7 '!P20</f>
        <v>0.75421300000000002</v>
      </c>
      <c r="E12" s="497">
        <f t="shared" ref="E12" si="1">D12</f>
        <v>0.75421300000000002</v>
      </c>
      <c r="F12"/>
    </row>
    <row r="13" spans="1:10" ht="14.5" x14ac:dyDescent="0.35">
      <c r="A13" s="2">
        <f>ROW()</f>
        <v>13</v>
      </c>
      <c r="B13" s="1" t="s">
        <v>188</v>
      </c>
      <c r="D13" s="420">
        <v>93518022.769653961</v>
      </c>
      <c r="E13" s="420">
        <v>327671958.30417341</v>
      </c>
      <c r="F13" s="807"/>
      <c r="G13" s="808"/>
      <c r="I13" s="114"/>
      <c r="J13" s="114"/>
    </row>
    <row r="14" spans="1:10" ht="14.5" x14ac:dyDescent="0.35">
      <c r="A14" s="2">
        <f>ROW()</f>
        <v>14</v>
      </c>
      <c r="D14" s="707"/>
      <c r="E14" s="707"/>
      <c r="F14" s="807"/>
      <c r="G14" s="808"/>
      <c r="I14" s="114"/>
      <c r="J14" s="114"/>
    </row>
    <row r="15" spans="1:10" ht="14.5" x14ac:dyDescent="0.35">
      <c r="A15" s="2">
        <f>ROW()</f>
        <v>15</v>
      </c>
      <c r="B15" s="1" t="s">
        <v>853</v>
      </c>
      <c r="D15" s="420">
        <v>-6220620.3399599995</v>
      </c>
      <c r="E15" s="420">
        <v>-27264573.957355004</v>
      </c>
      <c r="F15" s="807"/>
      <c r="G15" s="808"/>
      <c r="I15" s="114"/>
      <c r="J15" s="114"/>
    </row>
    <row r="16" spans="1:10" ht="14.5" x14ac:dyDescent="0.35">
      <c r="A16" s="2">
        <f>ROW()</f>
        <v>16</v>
      </c>
      <c r="B16" s="1" t="s">
        <v>854</v>
      </c>
      <c r="D16" s="415">
        <v>-2357630.0607051011</v>
      </c>
      <c r="E16" s="415">
        <v>2018113.7165195509</v>
      </c>
      <c r="F16" s="807"/>
      <c r="G16" s="808"/>
      <c r="I16" s="114"/>
      <c r="J16" s="114"/>
    </row>
    <row r="17" spans="1:10" ht="14.5" x14ac:dyDescent="0.35">
      <c r="A17" s="2">
        <f>ROW()</f>
        <v>17</v>
      </c>
      <c r="B17" s="1" t="s">
        <v>855</v>
      </c>
      <c r="D17" s="708">
        <f t="shared" ref="D17:E17" si="2">SUM(D15:D16)</f>
        <v>-8578250.4006651007</v>
      </c>
      <c r="E17" s="708">
        <f t="shared" si="2"/>
        <v>-25246460.240835454</v>
      </c>
      <c r="F17"/>
      <c r="H17" s="358"/>
      <c r="I17" s="114"/>
      <c r="J17" s="114"/>
    </row>
    <row r="18" spans="1:10" ht="14.5" x14ac:dyDescent="0.35">
      <c r="A18" s="2">
        <f>ROW()</f>
        <v>18</v>
      </c>
      <c r="B18" s="1" t="s">
        <v>354</v>
      </c>
      <c r="D18" s="415">
        <f t="shared" ref="D18:E18" si="3">D13*D9*D11</f>
        <v>540066.58149475162</v>
      </c>
      <c r="E18" s="415">
        <f t="shared" si="3"/>
        <v>1906067.7814553767</v>
      </c>
      <c r="F18"/>
      <c r="H18" s="1114"/>
      <c r="I18" s="114"/>
      <c r="J18" s="114"/>
    </row>
    <row r="19" spans="1:10" ht="14.5" x14ac:dyDescent="0.35">
      <c r="A19" s="2">
        <f>ROW()</f>
        <v>19</v>
      </c>
      <c r="B19" s="1" t="s">
        <v>856</v>
      </c>
      <c r="D19" s="708">
        <f t="shared" ref="D19:E19" si="4">SUM(D17:D18)</f>
        <v>-8038183.8191703493</v>
      </c>
      <c r="E19" s="708">
        <f t="shared" si="4"/>
        <v>-23340392.459380079</v>
      </c>
      <c r="F19"/>
      <c r="I19" s="114"/>
      <c r="J19" s="114"/>
    </row>
    <row r="20" spans="1:10" ht="14.5" x14ac:dyDescent="0.35">
      <c r="A20" s="2">
        <f>ROW()</f>
        <v>20</v>
      </c>
      <c r="B20" s="1" t="s">
        <v>857</v>
      </c>
      <c r="D20" s="415">
        <f t="shared" ref="D20:E20" si="5">D13*D10</f>
        <v>6880588.5252772905</v>
      </c>
      <c r="E20" s="415">
        <f t="shared" si="5"/>
        <v>24149423.327017579</v>
      </c>
      <c r="F20"/>
      <c r="I20" s="114"/>
      <c r="J20" s="114"/>
    </row>
    <row r="21" spans="1:10" ht="14.5" x14ac:dyDescent="0.35">
      <c r="A21" s="2">
        <f>ROW()</f>
        <v>21</v>
      </c>
      <c r="B21" s="1" t="s">
        <v>858</v>
      </c>
      <c r="D21" s="474">
        <f t="shared" ref="D21:E21" si="6">D20-D19</f>
        <v>14918772.344447639</v>
      </c>
      <c r="E21" s="474">
        <f t="shared" si="6"/>
        <v>47489815.786397658</v>
      </c>
      <c r="F21"/>
      <c r="I21" s="114"/>
      <c r="J21" s="114"/>
    </row>
    <row r="22" spans="1:10" ht="14.5" x14ac:dyDescent="0.35">
      <c r="A22" s="2">
        <f>ROW()</f>
        <v>22</v>
      </c>
      <c r="B22" s="1" t="s">
        <v>859</v>
      </c>
      <c r="D22" s="709">
        <f t="shared" ref="D22:E22" si="7">D21/D12</f>
        <v>19780582.334761716</v>
      </c>
      <c r="E22" s="709">
        <f t="shared" si="7"/>
        <v>62966053.073067762</v>
      </c>
      <c r="F22"/>
      <c r="I22" s="114"/>
      <c r="J22" s="114"/>
    </row>
    <row r="23" spans="1:10" ht="14.5" x14ac:dyDescent="0.35">
      <c r="A23" s="2">
        <f>ROW()</f>
        <v>23</v>
      </c>
      <c r="B23" s="1" t="s">
        <v>909</v>
      </c>
      <c r="D23" s="474">
        <f>D22</f>
        <v>19780582.334761716</v>
      </c>
      <c r="E23" s="474">
        <f>E22</f>
        <v>62966053.073067762</v>
      </c>
      <c r="F23"/>
    </row>
    <row r="24" spans="1:10" ht="14.5" x14ac:dyDescent="0.35">
      <c r="A24" s="2">
        <f>ROW()</f>
        <v>24</v>
      </c>
      <c r="D24" s="356"/>
      <c r="E24" s="356"/>
      <c r="F24"/>
    </row>
    <row r="25" spans="1:10" ht="15" thickBot="1" x14ac:dyDescent="0.4">
      <c r="A25" s="2">
        <f>ROW()</f>
        <v>25</v>
      </c>
      <c r="B25" s="1" t="s">
        <v>860</v>
      </c>
      <c r="D25" s="1187">
        <f>D23-C23</f>
        <v>19780582.334761716</v>
      </c>
      <c r="E25" s="1187">
        <f>E23-D23</f>
        <v>43185470.738306046</v>
      </c>
      <c r="F25"/>
    </row>
    <row r="26" spans="1:10" ht="15" thickTop="1" x14ac:dyDescent="0.35">
      <c r="F26"/>
    </row>
    <row r="27" spans="1:10" ht="14.5" x14ac:dyDescent="0.35">
      <c r="B27" s="397"/>
      <c r="C27" s="134"/>
      <c r="D27" s="134"/>
      <c r="E27" s="134"/>
      <c r="F27"/>
    </row>
    <row r="28" spans="1:10" x14ac:dyDescent="0.3">
      <c r="C28" s="134"/>
      <c r="D28" s="134"/>
      <c r="E28" s="134"/>
      <c r="F28" s="134"/>
    </row>
    <row r="29" spans="1:10" x14ac:dyDescent="0.3">
      <c r="C29" s="134"/>
      <c r="D29" s="134"/>
      <c r="E29" s="134"/>
      <c r="F29" s="134"/>
    </row>
    <row r="30" spans="1:10" x14ac:dyDescent="0.3">
      <c r="C30" s="134"/>
      <c r="D30" s="134"/>
      <c r="E30" s="134"/>
      <c r="F30" s="134"/>
    </row>
    <row r="31" spans="1:10" x14ac:dyDescent="0.3">
      <c r="C31" s="134"/>
      <c r="D31" s="134"/>
      <c r="E31" s="134"/>
      <c r="F31" s="134"/>
    </row>
    <row r="32" spans="1:10" x14ac:dyDescent="0.3">
      <c r="C32" s="134"/>
      <c r="D32" s="134"/>
      <c r="E32" s="134"/>
      <c r="F32" s="134"/>
    </row>
    <row r="33" spans="3:6" x14ac:dyDescent="0.3">
      <c r="C33" s="134"/>
      <c r="D33" s="134"/>
      <c r="E33" s="134"/>
      <c r="F33" s="134"/>
    </row>
    <row r="34" spans="3:6" x14ac:dyDescent="0.3">
      <c r="C34" s="134"/>
      <c r="D34" s="134"/>
      <c r="E34" s="134"/>
      <c r="F34" s="134"/>
    </row>
    <row r="35" spans="3:6" x14ac:dyDescent="0.3">
      <c r="C35" s="134"/>
      <c r="D35" s="134"/>
      <c r="E35" s="134"/>
      <c r="F35" s="134"/>
    </row>
    <row r="36" spans="3:6" x14ac:dyDescent="0.3">
      <c r="C36" s="134"/>
      <c r="D36" s="134"/>
      <c r="E36" s="134"/>
      <c r="F36" s="134"/>
    </row>
    <row r="37" spans="3:6" x14ac:dyDescent="0.3">
      <c r="C37" s="134"/>
      <c r="D37" s="134"/>
      <c r="E37" s="134"/>
      <c r="F37" s="134"/>
    </row>
    <row r="38" spans="3:6" x14ac:dyDescent="0.3">
      <c r="C38" s="134"/>
      <c r="D38" s="134"/>
      <c r="E38" s="134"/>
      <c r="F38" s="134"/>
    </row>
    <row r="39" spans="3:6" x14ac:dyDescent="0.3">
      <c r="C39" s="134"/>
      <c r="D39" s="134"/>
      <c r="E39" s="134"/>
      <c r="F39" s="134"/>
    </row>
    <row r="41" spans="3:6" x14ac:dyDescent="0.3">
      <c r="C41" s="358"/>
      <c r="D41" s="358"/>
      <c r="E41" s="358"/>
      <c r="F41" s="358"/>
    </row>
    <row r="42" spans="3:6" x14ac:dyDescent="0.3">
      <c r="C42" s="358"/>
      <c r="D42" s="358"/>
      <c r="E42" s="358"/>
      <c r="F42" s="358"/>
    </row>
    <row r="43" spans="3:6" x14ac:dyDescent="0.3">
      <c r="C43" s="358"/>
      <c r="D43" s="358"/>
      <c r="E43" s="358"/>
      <c r="F43" s="358"/>
    </row>
    <row r="44" spans="3:6" x14ac:dyDescent="0.3">
      <c r="C44" s="358"/>
      <c r="D44" s="358"/>
      <c r="E44" s="358"/>
      <c r="F44" s="358"/>
    </row>
    <row r="45" spans="3:6" x14ac:dyDescent="0.3">
      <c r="C45" s="358"/>
      <c r="D45" s="358"/>
      <c r="E45" s="358"/>
      <c r="F45" s="358"/>
    </row>
    <row r="46" spans="3:6" x14ac:dyDescent="0.3">
      <c r="C46" s="358"/>
      <c r="D46" s="358"/>
      <c r="E46" s="358"/>
      <c r="F46" s="358"/>
    </row>
    <row r="47" spans="3:6" x14ac:dyDescent="0.3">
      <c r="C47" s="358"/>
      <c r="D47" s="358"/>
      <c r="E47" s="358"/>
      <c r="F47" s="358"/>
    </row>
    <row r="48" spans="3:6" x14ac:dyDescent="0.3">
      <c r="C48" s="358"/>
      <c r="D48" s="358"/>
      <c r="E48" s="358"/>
      <c r="F48" s="358"/>
    </row>
    <row r="49" spans="3:6" x14ac:dyDescent="0.3">
      <c r="C49" s="358"/>
      <c r="D49" s="358"/>
      <c r="E49" s="358"/>
      <c r="F49" s="358"/>
    </row>
    <row r="50" spans="3:6" x14ac:dyDescent="0.3">
      <c r="C50" s="358"/>
      <c r="D50" s="358"/>
      <c r="E50" s="358"/>
      <c r="F50" s="358"/>
    </row>
    <row r="51" spans="3:6" x14ac:dyDescent="0.3">
      <c r="C51" s="358"/>
      <c r="D51" s="358"/>
      <c r="E51" s="358"/>
      <c r="F51" s="358"/>
    </row>
    <row r="52" spans="3:6" x14ac:dyDescent="0.3">
      <c r="C52" s="358"/>
      <c r="D52" s="358"/>
      <c r="E52" s="358"/>
      <c r="F52" s="358"/>
    </row>
    <row r="53" spans="3:6" x14ac:dyDescent="0.3">
      <c r="C53" s="358"/>
      <c r="D53" s="358"/>
      <c r="E53" s="358"/>
      <c r="F53" s="358"/>
    </row>
    <row r="54" spans="3:6" x14ac:dyDescent="0.3">
      <c r="C54" s="114"/>
    </row>
    <row r="55" spans="3:6" x14ac:dyDescent="0.3">
      <c r="C55" s="114"/>
    </row>
    <row r="56" spans="3:6" x14ac:dyDescent="0.3">
      <c r="C56" s="114"/>
    </row>
  </sheetData>
  <pageMargins left="0.7" right="0.7" top="0.75" bottom="0.75" header="0.3" footer="0.3"/>
  <pageSetup orientation="portrait" horizontalDpi="4294967293" verticalDpi="1200"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I89"/>
  <sheetViews>
    <sheetView workbookViewId="0">
      <pane ySplit="6" topLeftCell="A77" activePane="bottomLeft" state="frozen"/>
      <selection activeCell="B159" sqref="B159"/>
      <selection pane="bottomLeft" activeCell="A69" sqref="A69"/>
    </sheetView>
  </sheetViews>
  <sheetFormatPr defaultRowHeight="14.5" x14ac:dyDescent="0.35"/>
  <cols>
    <col min="1" max="1" width="58" bestFit="1" customWidth="1"/>
    <col min="6" max="6" width="60.54296875" bestFit="1" customWidth="1"/>
  </cols>
  <sheetData>
    <row r="1" spans="1:8" x14ac:dyDescent="0.35">
      <c r="E1">
        <f>E80</f>
        <v>36</v>
      </c>
      <c r="F1" t="s">
        <v>885</v>
      </c>
    </row>
    <row r="5" spans="1:8" x14ac:dyDescent="0.35">
      <c r="B5" s="124" t="s">
        <v>170</v>
      </c>
      <c r="C5" s="124" t="s">
        <v>300</v>
      </c>
    </row>
    <row r="6" spans="1:8" x14ac:dyDescent="0.35">
      <c r="A6" s="123" t="s">
        <v>168</v>
      </c>
      <c r="B6" s="124" t="s">
        <v>166</v>
      </c>
      <c r="C6" s="124" t="s">
        <v>166</v>
      </c>
      <c r="D6" s="124" t="s">
        <v>167</v>
      </c>
      <c r="E6" s="124" t="s">
        <v>882</v>
      </c>
      <c r="F6" s="124" t="s">
        <v>1861</v>
      </c>
      <c r="G6" s="124" t="s">
        <v>1862</v>
      </c>
    </row>
    <row r="7" spans="1:8" x14ac:dyDescent="0.35">
      <c r="A7" t="s">
        <v>887</v>
      </c>
      <c r="B7" s="122">
        <v>6.01</v>
      </c>
      <c r="C7" s="122">
        <f>+B7+5</f>
        <v>11.01</v>
      </c>
      <c r="D7" s="217" t="s">
        <v>169</v>
      </c>
      <c r="E7">
        <v>1</v>
      </c>
      <c r="F7" t="s">
        <v>887</v>
      </c>
      <c r="G7" t="b">
        <f>F7=A7</f>
        <v>1</v>
      </c>
      <c r="H7" s="122">
        <f>'Detailed Summary'!$E$9</f>
        <v>11.01</v>
      </c>
    </row>
    <row r="8" spans="1:8" x14ac:dyDescent="0.35">
      <c r="A8" t="s">
        <v>886</v>
      </c>
      <c r="B8" s="122">
        <f>+B7+0.01</f>
        <v>6.02</v>
      </c>
      <c r="C8" s="122">
        <f t="shared" ref="C8:C31" si="0">+B8+5</f>
        <v>11.02</v>
      </c>
      <c r="D8" s="217" t="s">
        <v>169</v>
      </c>
      <c r="E8">
        <f>E7+1</f>
        <v>2</v>
      </c>
      <c r="F8" t="s">
        <v>886</v>
      </c>
      <c r="G8" t="b">
        <f t="shared" ref="G8:G54" si="1">F8=A8</f>
        <v>1</v>
      </c>
      <c r="H8" s="122">
        <f>'Detailed Summary'!$F$9</f>
        <v>11.02</v>
      </c>
    </row>
    <row r="9" spans="1:8" x14ac:dyDescent="0.35">
      <c r="A9" t="s">
        <v>150</v>
      </c>
      <c r="B9" s="122">
        <f t="shared" ref="B9:B55" si="2">+B8+0.01</f>
        <v>6.0299999999999994</v>
      </c>
      <c r="C9" s="122">
        <f t="shared" si="0"/>
        <v>11.03</v>
      </c>
      <c r="D9" s="217" t="s">
        <v>169</v>
      </c>
      <c r="E9">
        <f t="shared" ref="E9:E28" si="3">E8+1</f>
        <v>3</v>
      </c>
      <c r="F9" t="s">
        <v>150</v>
      </c>
      <c r="G9" t="b">
        <f t="shared" si="1"/>
        <v>1</v>
      </c>
      <c r="H9" s="122">
        <f>'Detailed Summary'!$G$9</f>
        <v>11.03</v>
      </c>
    </row>
    <row r="10" spans="1:8" x14ac:dyDescent="0.35">
      <c r="A10" t="s">
        <v>151</v>
      </c>
      <c r="B10" s="122">
        <f t="shared" si="2"/>
        <v>6.0399999999999991</v>
      </c>
      <c r="C10" s="122">
        <f t="shared" si="0"/>
        <v>11.04</v>
      </c>
      <c r="D10" s="217" t="s">
        <v>169</v>
      </c>
      <c r="E10">
        <f t="shared" si="3"/>
        <v>4</v>
      </c>
      <c r="F10" t="s">
        <v>151</v>
      </c>
      <c r="G10" t="b">
        <f t="shared" si="1"/>
        <v>1</v>
      </c>
      <c r="H10" s="122">
        <f>'Detailed Summary'!$H$9</f>
        <v>11.04</v>
      </c>
    </row>
    <row r="11" spans="1:8" x14ac:dyDescent="0.35">
      <c r="A11" t="s">
        <v>152</v>
      </c>
      <c r="B11" s="122">
        <f t="shared" si="2"/>
        <v>6.0499999999999989</v>
      </c>
      <c r="C11" s="122">
        <f t="shared" si="0"/>
        <v>11.049999999999999</v>
      </c>
      <c r="D11" s="217" t="s">
        <v>169</v>
      </c>
      <c r="E11">
        <f t="shared" si="3"/>
        <v>5</v>
      </c>
      <c r="F11" t="s">
        <v>152</v>
      </c>
      <c r="G11" t="b">
        <f t="shared" si="1"/>
        <v>1</v>
      </c>
      <c r="H11" s="122">
        <f>'Detailed Summary'!$I$9</f>
        <v>11.049999999999999</v>
      </c>
    </row>
    <row r="12" spans="1:8" x14ac:dyDescent="0.35">
      <c r="A12" t="s">
        <v>906</v>
      </c>
      <c r="B12" s="122">
        <f t="shared" si="2"/>
        <v>6.0599999999999987</v>
      </c>
      <c r="C12" s="122">
        <f t="shared" si="0"/>
        <v>11.059999999999999</v>
      </c>
      <c r="D12" s="217" t="s">
        <v>169</v>
      </c>
      <c r="E12">
        <f t="shared" si="3"/>
        <v>6</v>
      </c>
      <c r="F12" t="s">
        <v>906</v>
      </c>
      <c r="G12" t="b">
        <f t="shared" si="1"/>
        <v>1</v>
      </c>
      <c r="H12" s="122">
        <f>'Detailed Summary'!$J$9</f>
        <v>11.059999999999999</v>
      </c>
    </row>
    <row r="13" spans="1:8" x14ac:dyDescent="0.35">
      <c r="A13" t="s">
        <v>157</v>
      </c>
      <c r="B13" s="122">
        <f t="shared" si="2"/>
        <v>6.0699999999999985</v>
      </c>
      <c r="C13" s="122">
        <f t="shared" si="0"/>
        <v>11.069999999999999</v>
      </c>
      <c r="D13" s="217" t="s">
        <v>169</v>
      </c>
      <c r="E13">
        <f t="shared" si="3"/>
        <v>7</v>
      </c>
      <c r="F13" t="s">
        <v>157</v>
      </c>
      <c r="G13" t="b">
        <f t="shared" si="1"/>
        <v>1</v>
      </c>
      <c r="H13" s="122">
        <f>'Detailed Summary'!$K$9</f>
        <v>11.069999999999999</v>
      </c>
    </row>
    <row r="14" spans="1:8" x14ac:dyDescent="0.35">
      <c r="A14" t="s">
        <v>866</v>
      </c>
      <c r="B14" s="122">
        <f t="shared" si="2"/>
        <v>6.0799999999999983</v>
      </c>
      <c r="C14" s="122">
        <f t="shared" si="0"/>
        <v>11.079999999999998</v>
      </c>
      <c r="D14" s="217" t="s">
        <v>169</v>
      </c>
      <c r="E14">
        <f t="shared" si="3"/>
        <v>8</v>
      </c>
      <c r="F14" t="s">
        <v>866</v>
      </c>
      <c r="G14" t="b">
        <f t="shared" si="1"/>
        <v>1</v>
      </c>
      <c r="H14" s="122">
        <f>'Detailed Summary'!$L$9</f>
        <v>11.079999999999998</v>
      </c>
    </row>
    <row r="15" spans="1:8" x14ac:dyDescent="0.35">
      <c r="A15" t="s">
        <v>165</v>
      </c>
      <c r="B15" s="122">
        <f t="shared" si="2"/>
        <v>6.0899999999999981</v>
      </c>
      <c r="C15" s="122">
        <f t="shared" si="0"/>
        <v>11.089999999999998</v>
      </c>
      <c r="D15" s="217" t="s">
        <v>169</v>
      </c>
      <c r="E15">
        <f t="shared" si="3"/>
        <v>9</v>
      </c>
      <c r="F15" t="s">
        <v>165</v>
      </c>
      <c r="G15" t="b">
        <f t="shared" si="1"/>
        <v>1</v>
      </c>
      <c r="H15" s="122">
        <f>'Detailed Summary'!$M$9</f>
        <v>11.089999999999998</v>
      </c>
    </row>
    <row r="16" spans="1:8" x14ac:dyDescent="0.35">
      <c r="A16" t="s">
        <v>153</v>
      </c>
      <c r="B16" s="122">
        <f t="shared" si="2"/>
        <v>6.0999999999999979</v>
      </c>
      <c r="C16" s="122">
        <f t="shared" si="0"/>
        <v>11.099999999999998</v>
      </c>
      <c r="D16" s="217" t="s">
        <v>169</v>
      </c>
      <c r="E16">
        <f t="shared" si="3"/>
        <v>10</v>
      </c>
      <c r="F16" t="s">
        <v>153</v>
      </c>
      <c r="G16" t="b">
        <f t="shared" si="1"/>
        <v>1</v>
      </c>
      <c r="H16" s="122">
        <f>'Detailed Summary'!$N$9</f>
        <v>11.099999999999998</v>
      </c>
    </row>
    <row r="17" spans="1:9" x14ac:dyDescent="0.35">
      <c r="A17" t="s">
        <v>155</v>
      </c>
      <c r="B17" s="122">
        <f t="shared" si="2"/>
        <v>6.1099999999999977</v>
      </c>
      <c r="C17" s="122">
        <f t="shared" si="0"/>
        <v>11.109999999999998</v>
      </c>
      <c r="D17" s="217" t="s">
        <v>169</v>
      </c>
      <c r="E17">
        <f t="shared" si="3"/>
        <v>11</v>
      </c>
      <c r="F17" t="s">
        <v>155</v>
      </c>
      <c r="G17" t="b">
        <f t="shared" si="1"/>
        <v>1</v>
      </c>
      <c r="H17" s="122">
        <f>'Detailed Summary'!$O$9</f>
        <v>11.109999999999998</v>
      </c>
    </row>
    <row r="18" spans="1:9" x14ac:dyDescent="0.35">
      <c r="A18" t="s">
        <v>161</v>
      </c>
      <c r="B18" s="122">
        <f t="shared" si="2"/>
        <v>6.1199999999999974</v>
      </c>
      <c r="C18" s="122">
        <f t="shared" si="0"/>
        <v>11.119999999999997</v>
      </c>
      <c r="D18" s="217" t="s">
        <v>169</v>
      </c>
      <c r="E18">
        <f t="shared" si="3"/>
        <v>12</v>
      </c>
      <c r="F18" t="s">
        <v>161</v>
      </c>
      <c r="G18" t="b">
        <f t="shared" si="1"/>
        <v>1</v>
      </c>
      <c r="H18" s="122">
        <f>'Detailed Summary'!$P$9</f>
        <v>11.119999999999997</v>
      </c>
    </row>
    <row r="19" spans="1:9" x14ac:dyDescent="0.35">
      <c r="A19" t="s">
        <v>890</v>
      </c>
      <c r="B19" s="122">
        <f t="shared" si="2"/>
        <v>6.1299999999999972</v>
      </c>
      <c r="C19" s="122">
        <f t="shared" si="0"/>
        <v>11.129999999999997</v>
      </c>
      <c r="D19" s="217" t="s">
        <v>169</v>
      </c>
      <c r="E19">
        <f t="shared" si="3"/>
        <v>13</v>
      </c>
      <c r="F19" t="s">
        <v>890</v>
      </c>
      <c r="G19" t="b">
        <f t="shared" si="1"/>
        <v>1</v>
      </c>
      <c r="H19" s="122">
        <f>'Detailed Summary'!$Q$9</f>
        <v>11.129999999999997</v>
      </c>
    </row>
    <row r="20" spans="1:9" x14ac:dyDescent="0.35">
      <c r="A20" t="s">
        <v>159</v>
      </c>
      <c r="B20" s="122">
        <f t="shared" si="2"/>
        <v>6.139999999999997</v>
      </c>
      <c r="C20" s="122">
        <f t="shared" si="0"/>
        <v>11.139999999999997</v>
      </c>
      <c r="D20" s="217" t="s">
        <v>169</v>
      </c>
      <c r="E20">
        <f t="shared" si="3"/>
        <v>14</v>
      </c>
      <c r="F20" t="s">
        <v>159</v>
      </c>
      <c r="G20" t="b">
        <f t="shared" si="1"/>
        <v>1</v>
      </c>
      <c r="H20" s="122">
        <f>'Detailed Summary'!$R$9</f>
        <v>11.139999999999997</v>
      </c>
    </row>
    <row r="21" spans="1:9" x14ac:dyDescent="0.35">
      <c r="A21" t="s">
        <v>896</v>
      </c>
      <c r="B21" s="122">
        <f t="shared" si="2"/>
        <v>6.1499999999999968</v>
      </c>
      <c r="C21" s="122">
        <f t="shared" si="0"/>
        <v>11.149999999999997</v>
      </c>
      <c r="D21" s="217" t="s">
        <v>169</v>
      </c>
      <c r="E21">
        <f t="shared" si="3"/>
        <v>15</v>
      </c>
      <c r="F21" t="s">
        <v>896</v>
      </c>
      <c r="G21" t="b">
        <f t="shared" si="1"/>
        <v>1</v>
      </c>
      <c r="H21" s="122">
        <f>'Detailed Summary'!$S$9</f>
        <v>11.149999999999997</v>
      </c>
    </row>
    <row r="22" spans="1:9" x14ac:dyDescent="0.35">
      <c r="A22" t="s">
        <v>156</v>
      </c>
      <c r="B22" s="122">
        <f t="shared" si="2"/>
        <v>6.1599999999999966</v>
      </c>
      <c r="C22" s="122">
        <f t="shared" si="0"/>
        <v>11.159999999999997</v>
      </c>
      <c r="D22" s="217" t="s">
        <v>169</v>
      </c>
      <c r="E22">
        <f t="shared" si="3"/>
        <v>16</v>
      </c>
      <c r="F22" t="s">
        <v>156</v>
      </c>
      <c r="G22" t="b">
        <f t="shared" si="1"/>
        <v>1</v>
      </c>
      <c r="H22" s="122">
        <f>'Detailed Summary'!$T$9</f>
        <v>11.159999999999997</v>
      </c>
    </row>
    <row r="23" spans="1:9" x14ac:dyDescent="0.35">
      <c r="A23" t="s">
        <v>158</v>
      </c>
      <c r="B23" s="122">
        <f t="shared" si="2"/>
        <v>6.1699999999999964</v>
      </c>
      <c r="C23" s="122">
        <f t="shared" si="0"/>
        <v>11.169999999999996</v>
      </c>
      <c r="D23" s="217" t="s">
        <v>169</v>
      </c>
      <c r="E23">
        <f t="shared" si="3"/>
        <v>17</v>
      </c>
      <c r="F23" t="s">
        <v>158</v>
      </c>
      <c r="G23" t="b">
        <f t="shared" si="1"/>
        <v>1</v>
      </c>
      <c r="H23" s="122">
        <f>'Detailed Summary'!$U$9</f>
        <v>11.169999999999996</v>
      </c>
    </row>
    <row r="24" spans="1:9" x14ac:dyDescent="0.35">
      <c r="A24" t="s">
        <v>160</v>
      </c>
      <c r="B24" s="122">
        <f t="shared" si="2"/>
        <v>6.1799999999999962</v>
      </c>
      <c r="C24" s="122">
        <f t="shared" si="0"/>
        <v>11.179999999999996</v>
      </c>
      <c r="D24" s="217" t="s">
        <v>169</v>
      </c>
      <c r="E24">
        <f t="shared" si="3"/>
        <v>18</v>
      </c>
      <c r="F24" t="s">
        <v>160</v>
      </c>
      <c r="G24" t="b">
        <f t="shared" si="1"/>
        <v>1</v>
      </c>
      <c r="H24" s="122">
        <f>'Detailed Summary'!$V$9</f>
        <v>11.179999999999996</v>
      </c>
    </row>
    <row r="25" spans="1:9" x14ac:dyDescent="0.35">
      <c r="A25" t="s">
        <v>162</v>
      </c>
      <c r="B25" s="122">
        <f t="shared" si="2"/>
        <v>6.1899999999999959</v>
      </c>
      <c r="C25" s="122">
        <f t="shared" si="0"/>
        <v>11.189999999999996</v>
      </c>
      <c r="D25" s="217" t="s">
        <v>169</v>
      </c>
      <c r="E25">
        <f t="shared" si="3"/>
        <v>19</v>
      </c>
      <c r="F25" t="s">
        <v>162</v>
      </c>
      <c r="G25" t="b">
        <f t="shared" si="1"/>
        <v>1</v>
      </c>
      <c r="H25" s="122">
        <f>'Detailed Summary'!$W$9</f>
        <v>11.189999999999996</v>
      </c>
    </row>
    <row r="26" spans="1:9" x14ac:dyDescent="0.35">
      <c r="A26" t="s">
        <v>1079</v>
      </c>
      <c r="B26" s="122">
        <f t="shared" si="2"/>
        <v>6.1999999999999957</v>
      </c>
      <c r="C26" s="122">
        <f t="shared" si="0"/>
        <v>11.199999999999996</v>
      </c>
      <c r="D26" s="217" t="s">
        <v>169</v>
      </c>
      <c r="E26">
        <f t="shared" si="3"/>
        <v>20</v>
      </c>
      <c r="F26" t="s">
        <v>1079</v>
      </c>
      <c r="G26" t="b">
        <f t="shared" si="1"/>
        <v>1</v>
      </c>
      <c r="H26" s="122">
        <f>'Detailed Summary'!$X$9</f>
        <v>11.199999999999996</v>
      </c>
      <c r="I26" t="s">
        <v>227</v>
      </c>
    </row>
    <row r="27" spans="1:9" x14ac:dyDescent="0.35">
      <c r="A27" t="s">
        <v>212</v>
      </c>
      <c r="B27" s="122">
        <f t="shared" si="2"/>
        <v>6.2099999999999955</v>
      </c>
      <c r="C27" s="122">
        <f t="shared" si="0"/>
        <v>11.209999999999996</v>
      </c>
      <c r="D27" s="217" t="s">
        <v>169</v>
      </c>
      <c r="E27">
        <f t="shared" si="3"/>
        <v>21</v>
      </c>
      <c r="F27" t="s">
        <v>212</v>
      </c>
      <c r="G27" t="b">
        <f t="shared" si="1"/>
        <v>1</v>
      </c>
      <c r="H27" s="122">
        <f>'Detailed Summary'!$Y$9</f>
        <v>11.209999999999996</v>
      </c>
    </row>
    <row r="28" spans="1:9" x14ac:dyDescent="0.35">
      <c r="A28" t="s">
        <v>874</v>
      </c>
      <c r="B28" s="122">
        <f t="shared" si="2"/>
        <v>6.2199999999999953</v>
      </c>
      <c r="C28" s="122">
        <f t="shared" si="0"/>
        <v>11.219999999999995</v>
      </c>
      <c r="D28" s="217" t="s">
        <v>169</v>
      </c>
      <c r="E28">
        <f t="shared" si="3"/>
        <v>22</v>
      </c>
      <c r="F28" t="s">
        <v>874</v>
      </c>
      <c r="G28" t="b">
        <f t="shared" si="1"/>
        <v>1</v>
      </c>
      <c r="H28" s="122">
        <f>'Detailed Summary'!$Z$9</f>
        <v>11.219999999999995</v>
      </c>
    </row>
    <row r="29" spans="1:9" x14ac:dyDescent="0.35">
      <c r="A29" t="s">
        <v>1426</v>
      </c>
      <c r="B29" s="122">
        <f t="shared" si="2"/>
        <v>6.2299999999999951</v>
      </c>
      <c r="C29" s="122">
        <f t="shared" si="0"/>
        <v>11.229999999999995</v>
      </c>
      <c r="D29" s="217" t="s">
        <v>169</v>
      </c>
      <c r="E29" s="352">
        <f>E28+1</f>
        <v>23</v>
      </c>
      <c r="F29" t="s">
        <v>1426</v>
      </c>
      <c r="G29" t="b">
        <f t="shared" si="1"/>
        <v>1</v>
      </c>
      <c r="H29" s="122">
        <f>'Detailed Summary'!$AA$9</f>
        <v>11.229999999999995</v>
      </c>
    </row>
    <row r="30" spans="1:9" x14ac:dyDescent="0.35">
      <c r="A30" t="s">
        <v>889</v>
      </c>
      <c r="B30" s="122">
        <f t="shared" si="2"/>
        <v>6.2399999999999949</v>
      </c>
      <c r="C30" s="122">
        <f t="shared" si="0"/>
        <v>11.239999999999995</v>
      </c>
      <c r="D30" s="217" t="s">
        <v>169</v>
      </c>
      <c r="E30">
        <f>E29+1</f>
        <v>24</v>
      </c>
      <c r="F30" t="s">
        <v>889</v>
      </c>
      <c r="G30" t="b">
        <f t="shared" si="1"/>
        <v>1</v>
      </c>
      <c r="H30" s="122">
        <f>'Detailed Summary'!$AB$9</f>
        <v>11.239999999999995</v>
      </c>
    </row>
    <row r="31" spans="1:9" x14ac:dyDescent="0.35">
      <c r="A31" t="s">
        <v>888</v>
      </c>
      <c r="B31" s="122">
        <f t="shared" si="2"/>
        <v>6.2499999999999947</v>
      </c>
      <c r="C31" s="122">
        <f t="shared" si="0"/>
        <v>11.249999999999995</v>
      </c>
      <c r="D31" s="217" t="s">
        <v>169</v>
      </c>
      <c r="E31" s="352">
        <f t="shared" ref="E31:E55" si="4">E30+1</f>
        <v>25</v>
      </c>
      <c r="F31" t="s">
        <v>888</v>
      </c>
      <c r="G31" t="b">
        <f t="shared" si="1"/>
        <v>1</v>
      </c>
      <c r="H31" s="122">
        <f>'Detailed Summary'!$AC$9</f>
        <v>11.249999999999995</v>
      </c>
    </row>
    <row r="32" spans="1:9" x14ac:dyDescent="0.35">
      <c r="A32" t="s">
        <v>897</v>
      </c>
      <c r="B32" s="122">
        <f t="shared" si="2"/>
        <v>6.2599999999999945</v>
      </c>
      <c r="C32" s="122">
        <f t="shared" ref="C32:C50" si="5">+B32+5</f>
        <v>11.259999999999994</v>
      </c>
      <c r="D32" s="217" t="s">
        <v>169</v>
      </c>
      <c r="E32">
        <f t="shared" si="4"/>
        <v>26</v>
      </c>
      <c r="F32" t="s">
        <v>897</v>
      </c>
      <c r="G32" t="b">
        <f t="shared" si="1"/>
        <v>1</v>
      </c>
      <c r="H32" s="122">
        <f>'Detailed Summary'!$AD$9</f>
        <v>11.259999999999994</v>
      </c>
    </row>
    <row r="33" spans="1:8" x14ac:dyDescent="0.35">
      <c r="A33" t="s">
        <v>881</v>
      </c>
      <c r="B33" s="122">
        <f t="shared" si="2"/>
        <v>6.2699999999999942</v>
      </c>
      <c r="C33" s="122">
        <f t="shared" si="5"/>
        <v>11.269999999999994</v>
      </c>
      <c r="D33" s="217" t="s">
        <v>169</v>
      </c>
      <c r="E33" s="352">
        <f t="shared" si="4"/>
        <v>27</v>
      </c>
      <c r="F33" t="s">
        <v>881</v>
      </c>
      <c r="G33" t="b">
        <f t="shared" si="1"/>
        <v>1</v>
      </c>
      <c r="H33" s="122">
        <f>'Detailed Summary'!$AE$9</f>
        <v>11.269999999999994</v>
      </c>
    </row>
    <row r="34" spans="1:8" x14ac:dyDescent="0.35">
      <c r="A34" t="s">
        <v>901</v>
      </c>
      <c r="B34" s="122">
        <f t="shared" si="2"/>
        <v>6.279999999999994</v>
      </c>
      <c r="C34" s="122">
        <f t="shared" si="5"/>
        <v>11.279999999999994</v>
      </c>
      <c r="D34" s="217" t="s">
        <v>169</v>
      </c>
      <c r="E34">
        <f t="shared" si="4"/>
        <v>28</v>
      </c>
      <c r="F34" t="s">
        <v>901</v>
      </c>
      <c r="G34" t="b">
        <f t="shared" si="1"/>
        <v>1</v>
      </c>
      <c r="H34" s="122">
        <f>'Detailed Summary'!AF9</f>
        <v>11.279999999999994</v>
      </c>
    </row>
    <row r="35" spans="1:8" x14ac:dyDescent="0.35">
      <c r="A35" t="s">
        <v>875</v>
      </c>
      <c r="B35" s="122">
        <f t="shared" si="2"/>
        <v>6.2899999999999938</v>
      </c>
      <c r="C35" s="122">
        <f t="shared" si="5"/>
        <v>11.289999999999994</v>
      </c>
      <c r="D35" s="217" t="s">
        <v>169</v>
      </c>
      <c r="E35" s="352">
        <f t="shared" si="4"/>
        <v>29</v>
      </c>
      <c r="F35" t="s">
        <v>875</v>
      </c>
      <c r="G35" t="b">
        <f t="shared" si="1"/>
        <v>1</v>
      </c>
      <c r="H35" s="122">
        <f>'Detailed Summary'!AG9</f>
        <v>11.289999999999994</v>
      </c>
    </row>
    <row r="36" spans="1:8" x14ac:dyDescent="0.35">
      <c r="A36" t="s">
        <v>878</v>
      </c>
      <c r="B36" s="122">
        <f t="shared" si="2"/>
        <v>6.2999999999999936</v>
      </c>
      <c r="C36" s="122">
        <f t="shared" si="5"/>
        <v>11.299999999999994</v>
      </c>
      <c r="D36" s="217" t="s">
        <v>169</v>
      </c>
      <c r="E36">
        <f>E35</f>
        <v>29</v>
      </c>
      <c r="F36" t="s">
        <v>878</v>
      </c>
      <c r="G36" t="b">
        <f t="shared" si="1"/>
        <v>1</v>
      </c>
      <c r="H36" s="122">
        <f>'Detailed Summary'!AH9</f>
        <v>11.299999999999994</v>
      </c>
    </row>
    <row r="37" spans="1:8" x14ac:dyDescent="0.35">
      <c r="A37" t="s">
        <v>876</v>
      </c>
      <c r="B37" s="122">
        <f t="shared" si="2"/>
        <v>6.3099999999999934</v>
      </c>
      <c r="C37" s="122">
        <f t="shared" si="5"/>
        <v>11.309999999999993</v>
      </c>
      <c r="D37" s="217" t="s">
        <v>169</v>
      </c>
      <c r="E37" s="352">
        <f>E36</f>
        <v>29</v>
      </c>
      <c r="F37" t="s">
        <v>876</v>
      </c>
      <c r="G37" t="b">
        <f t="shared" si="1"/>
        <v>1</v>
      </c>
      <c r="H37" s="122">
        <f>'Detailed Summary'!AI9</f>
        <v>11.309999999999993</v>
      </c>
    </row>
    <row r="38" spans="1:8" x14ac:dyDescent="0.35">
      <c r="A38" t="s">
        <v>877</v>
      </c>
      <c r="B38" s="122">
        <f t="shared" si="2"/>
        <v>6.3199999999999932</v>
      </c>
      <c r="C38" s="122">
        <f t="shared" si="5"/>
        <v>11.319999999999993</v>
      </c>
      <c r="D38" s="217" t="s">
        <v>169</v>
      </c>
      <c r="E38">
        <f>E37</f>
        <v>29</v>
      </c>
      <c r="F38" t="s">
        <v>877</v>
      </c>
      <c r="G38" t="b">
        <f t="shared" si="1"/>
        <v>1</v>
      </c>
      <c r="H38" s="122">
        <f>'Detailed Summary'!AJ9</f>
        <v>11.319999999999993</v>
      </c>
    </row>
    <row r="39" spans="1:8" x14ac:dyDescent="0.35">
      <c r="A39" t="s">
        <v>1095</v>
      </c>
      <c r="B39" s="122">
        <f t="shared" si="2"/>
        <v>6.329999999999993</v>
      </c>
      <c r="C39" s="122">
        <f t="shared" si="5"/>
        <v>11.329999999999993</v>
      </c>
      <c r="D39" s="217" t="s">
        <v>169</v>
      </c>
      <c r="E39" s="352">
        <f t="shared" si="4"/>
        <v>30</v>
      </c>
      <c r="F39" t="s">
        <v>1095</v>
      </c>
      <c r="G39" t="b">
        <f t="shared" si="1"/>
        <v>1</v>
      </c>
      <c r="H39" s="122">
        <f>'Detailed Summary'!AK9</f>
        <v>11.329999999999993</v>
      </c>
    </row>
    <row r="40" spans="1:8" x14ac:dyDescent="0.35">
      <c r="A40" t="s">
        <v>1273</v>
      </c>
      <c r="B40" s="122">
        <f t="shared" si="2"/>
        <v>6.3399999999999928</v>
      </c>
      <c r="C40" s="122">
        <f t="shared" si="5"/>
        <v>11.339999999999993</v>
      </c>
      <c r="D40" s="217" t="s">
        <v>169</v>
      </c>
      <c r="E40">
        <f t="shared" si="4"/>
        <v>31</v>
      </c>
      <c r="F40" t="s">
        <v>1273</v>
      </c>
      <c r="G40" t="b">
        <f t="shared" si="1"/>
        <v>1</v>
      </c>
      <c r="H40" s="122">
        <f>'Detailed Summary'!AL9</f>
        <v>11.339999999999993</v>
      </c>
    </row>
    <row r="41" spans="1:8" x14ac:dyDescent="0.35">
      <c r="A41" t="s">
        <v>1808</v>
      </c>
      <c r="B41" s="122">
        <f t="shared" si="2"/>
        <v>6.3499999999999925</v>
      </c>
      <c r="C41" s="122">
        <f t="shared" si="5"/>
        <v>11.349999999999993</v>
      </c>
      <c r="D41" s="217" t="s">
        <v>169</v>
      </c>
      <c r="E41" s="352">
        <f t="shared" si="4"/>
        <v>32</v>
      </c>
      <c r="F41" t="s">
        <v>1808</v>
      </c>
      <c r="G41" t="b">
        <f t="shared" si="1"/>
        <v>1</v>
      </c>
      <c r="H41" s="122">
        <f>'Detailed Summary'!$AM$9</f>
        <v>11.349999999999993</v>
      </c>
    </row>
    <row r="42" spans="1:8" x14ac:dyDescent="0.35">
      <c r="A42" t="s">
        <v>1883</v>
      </c>
      <c r="B42" s="122">
        <f t="shared" si="2"/>
        <v>6.3599999999999923</v>
      </c>
      <c r="C42" s="122">
        <f t="shared" si="5"/>
        <v>11.359999999999992</v>
      </c>
      <c r="D42" s="217" t="s">
        <v>169</v>
      </c>
      <c r="E42" s="1274" t="s">
        <v>1901</v>
      </c>
      <c r="F42" t="s">
        <v>1883</v>
      </c>
      <c r="G42" t="b">
        <f t="shared" si="1"/>
        <v>1</v>
      </c>
      <c r="H42" s="1146" t="s">
        <v>193</v>
      </c>
    </row>
    <row r="43" spans="1:8" x14ac:dyDescent="0.35">
      <c r="A43" t="s">
        <v>1530</v>
      </c>
      <c r="B43" s="122">
        <f t="shared" si="2"/>
        <v>6.3699999999999921</v>
      </c>
      <c r="C43" s="122">
        <f t="shared" si="5"/>
        <v>11.369999999999992</v>
      </c>
      <c r="D43" s="217" t="s">
        <v>169</v>
      </c>
      <c r="E43" s="352">
        <f>E41+1</f>
        <v>33</v>
      </c>
      <c r="F43" t="s">
        <v>1530</v>
      </c>
      <c r="G43" t="b">
        <f t="shared" si="1"/>
        <v>1</v>
      </c>
      <c r="H43" s="122">
        <f>'Detailed Summary'!$AO$9</f>
        <v>11.369999999999992</v>
      </c>
    </row>
    <row r="44" spans="1:8" x14ac:dyDescent="0.35">
      <c r="A44" s="1132" t="s">
        <v>1811</v>
      </c>
      <c r="B44" s="1133">
        <f t="shared" si="2"/>
        <v>6.3799999999999919</v>
      </c>
      <c r="C44" s="1133">
        <f t="shared" si="5"/>
        <v>11.379999999999992</v>
      </c>
      <c r="D44" s="1134" t="s">
        <v>169</v>
      </c>
      <c r="E44" s="1132">
        <f t="shared" si="4"/>
        <v>34</v>
      </c>
      <c r="F44" s="1132" t="s">
        <v>1811</v>
      </c>
      <c r="G44" s="1132" t="b">
        <f t="shared" si="1"/>
        <v>1</v>
      </c>
      <c r="H44" s="995" t="s">
        <v>1863</v>
      </c>
    </row>
    <row r="45" spans="1:8" x14ac:dyDescent="0.35">
      <c r="A45" s="1132" t="s">
        <v>1812</v>
      </c>
      <c r="B45" s="1133">
        <f t="shared" si="2"/>
        <v>6.3899999999999917</v>
      </c>
      <c r="C45" s="1133">
        <f t="shared" si="5"/>
        <v>11.389999999999992</v>
      </c>
      <c r="D45" s="1134" t="s">
        <v>169</v>
      </c>
      <c r="E45" s="1135">
        <f t="shared" si="4"/>
        <v>35</v>
      </c>
      <c r="F45" s="1132" t="s">
        <v>1812</v>
      </c>
      <c r="G45" s="1132" t="b">
        <f t="shared" si="1"/>
        <v>1</v>
      </c>
    </row>
    <row r="46" spans="1:8" x14ac:dyDescent="0.35">
      <c r="A46" s="1132" t="s">
        <v>1813</v>
      </c>
      <c r="B46" s="1133">
        <f t="shared" si="2"/>
        <v>6.3999999999999915</v>
      </c>
      <c r="C46" s="1133">
        <f t="shared" si="5"/>
        <v>11.399999999999991</v>
      </c>
      <c r="D46" s="1134" t="s">
        <v>169</v>
      </c>
      <c r="E46" s="1132">
        <f t="shared" si="4"/>
        <v>36</v>
      </c>
      <c r="F46" s="1132" t="s">
        <v>1813</v>
      </c>
      <c r="G46" s="1132" t="b">
        <f t="shared" si="1"/>
        <v>1</v>
      </c>
    </row>
    <row r="47" spans="1:8" x14ac:dyDescent="0.35">
      <c r="A47" s="1132" t="s">
        <v>1814</v>
      </c>
      <c r="B47" s="1133">
        <f t="shared" si="2"/>
        <v>6.4099999999999913</v>
      </c>
      <c r="C47" s="1133">
        <f t="shared" si="5"/>
        <v>11.409999999999991</v>
      </c>
      <c r="D47" s="1134" t="s">
        <v>169</v>
      </c>
      <c r="E47" s="1135">
        <f t="shared" si="4"/>
        <v>37</v>
      </c>
      <c r="F47" s="1132" t="s">
        <v>1814</v>
      </c>
      <c r="G47" s="1132" t="b">
        <f t="shared" si="1"/>
        <v>1</v>
      </c>
    </row>
    <row r="48" spans="1:8" x14ac:dyDescent="0.35">
      <c r="A48" s="1132" t="s">
        <v>1815</v>
      </c>
      <c r="B48" s="1133">
        <f t="shared" si="2"/>
        <v>6.419999999999991</v>
      </c>
      <c r="C48" s="1133">
        <f t="shared" si="5"/>
        <v>11.419999999999991</v>
      </c>
      <c r="D48" s="1134" t="s">
        <v>169</v>
      </c>
      <c r="E48" s="1132">
        <f t="shared" si="4"/>
        <v>38</v>
      </c>
      <c r="F48" s="1132" t="s">
        <v>1815</v>
      </c>
      <c r="G48" s="1132" t="b">
        <f t="shared" si="1"/>
        <v>1</v>
      </c>
    </row>
    <row r="49" spans="1:8" x14ac:dyDescent="0.35">
      <c r="A49" s="1132" t="s">
        <v>1816</v>
      </c>
      <c r="B49" s="1133">
        <f t="shared" si="2"/>
        <v>6.4299999999999908</v>
      </c>
      <c r="C49" s="1133">
        <f t="shared" si="5"/>
        <v>11.429999999999991</v>
      </c>
      <c r="D49" s="1134" t="s">
        <v>169</v>
      </c>
      <c r="E49" s="1135">
        <f t="shared" si="4"/>
        <v>39</v>
      </c>
      <c r="F49" s="1132" t="s">
        <v>1816</v>
      </c>
      <c r="G49" s="1132" t="b">
        <f t="shared" si="1"/>
        <v>1</v>
      </c>
    </row>
    <row r="50" spans="1:8" x14ac:dyDescent="0.35">
      <c r="A50" s="1132" t="s">
        <v>1817</v>
      </c>
      <c r="B50" s="1133">
        <f t="shared" si="2"/>
        <v>6.4399999999999906</v>
      </c>
      <c r="C50" s="1133">
        <f t="shared" si="5"/>
        <v>11.439999999999991</v>
      </c>
      <c r="D50" s="1134" t="s">
        <v>169</v>
      </c>
      <c r="E50" s="1132">
        <f t="shared" si="4"/>
        <v>40</v>
      </c>
      <c r="F50" s="1132" t="s">
        <v>1817</v>
      </c>
      <c r="G50" s="1132" t="b">
        <f t="shared" si="1"/>
        <v>1</v>
      </c>
    </row>
    <row r="51" spans="1:8" x14ac:dyDescent="0.35">
      <c r="A51" s="1132" t="s">
        <v>1818</v>
      </c>
      <c r="B51" s="1133">
        <f t="shared" si="2"/>
        <v>6.4499999999999904</v>
      </c>
      <c r="C51" s="1133">
        <f t="shared" ref="C51:C55" si="6">+B51+5</f>
        <v>11.44999999999999</v>
      </c>
      <c r="D51" s="1134"/>
      <c r="E51" s="1132">
        <f t="shared" si="4"/>
        <v>41</v>
      </c>
      <c r="F51" s="1132" t="s">
        <v>1818</v>
      </c>
      <c r="G51" s="1132" t="b">
        <f t="shared" si="1"/>
        <v>1</v>
      </c>
    </row>
    <row r="52" spans="1:8" x14ac:dyDescent="0.35">
      <c r="A52" s="1132" t="s">
        <v>1819</v>
      </c>
      <c r="B52" s="1133">
        <f t="shared" si="2"/>
        <v>6.4599999999999902</v>
      </c>
      <c r="C52" s="1133">
        <f t="shared" si="6"/>
        <v>11.45999999999999</v>
      </c>
      <c r="D52" s="1134"/>
      <c r="E52" s="1132">
        <f t="shared" si="4"/>
        <v>42</v>
      </c>
      <c r="F52" s="1132" t="s">
        <v>1819</v>
      </c>
      <c r="G52" s="1132" t="b">
        <f t="shared" si="1"/>
        <v>1</v>
      </c>
    </row>
    <row r="53" spans="1:8" x14ac:dyDescent="0.35">
      <c r="A53" s="1132" t="s">
        <v>1820</v>
      </c>
      <c r="B53" s="1133">
        <f t="shared" si="2"/>
        <v>6.46999999999999</v>
      </c>
      <c r="C53" s="1133">
        <f t="shared" si="6"/>
        <v>11.46999999999999</v>
      </c>
      <c r="D53" s="1134"/>
      <c r="E53" s="1132">
        <f t="shared" si="4"/>
        <v>43</v>
      </c>
      <c r="F53" s="1132" t="s">
        <v>1820</v>
      </c>
      <c r="G53" s="1132" t="b">
        <f t="shared" si="1"/>
        <v>1</v>
      </c>
    </row>
    <row r="54" spans="1:8" x14ac:dyDescent="0.35">
      <c r="A54" s="1132" t="s">
        <v>1821</v>
      </c>
      <c r="B54" s="1133">
        <f t="shared" si="2"/>
        <v>6.4799999999999898</v>
      </c>
      <c r="C54" s="1133">
        <f t="shared" si="6"/>
        <v>11.47999999999999</v>
      </c>
      <c r="D54" s="1134"/>
      <c r="E54" s="1132">
        <f t="shared" si="4"/>
        <v>44</v>
      </c>
      <c r="F54" s="1132" t="s">
        <v>1821</v>
      </c>
      <c r="G54" s="1132" t="b">
        <f t="shared" si="1"/>
        <v>1</v>
      </c>
    </row>
    <row r="55" spans="1:8" x14ac:dyDescent="0.35">
      <c r="A55" s="1132" t="s">
        <v>1822</v>
      </c>
      <c r="B55" s="1133">
        <f t="shared" si="2"/>
        <v>6.4899999999999896</v>
      </c>
      <c r="C55" s="1133">
        <f t="shared" si="6"/>
        <v>11.48999999999999</v>
      </c>
      <c r="D55" s="1134"/>
      <c r="E55" s="1132">
        <f t="shared" si="4"/>
        <v>45</v>
      </c>
      <c r="F55" s="1132"/>
      <c r="G55" s="1132"/>
    </row>
    <row r="56" spans="1:8" x14ac:dyDescent="0.35">
      <c r="A56" s="1132" t="s">
        <v>1823</v>
      </c>
      <c r="B56" s="1133"/>
      <c r="C56" s="1133"/>
      <c r="D56" s="1132"/>
      <c r="E56" s="1132"/>
      <c r="F56" s="1132"/>
      <c r="G56" s="1132"/>
    </row>
    <row r="57" spans="1:8" x14ac:dyDescent="0.35">
      <c r="B57" s="122"/>
      <c r="C57" s="122"/>
    </row>
    <row r="58" spans="1:8" x14ac:dyDescent="0.35">
      <c r="A58" t="s">
        <v>163</v>
      </c>
      <c r="B58" s="122">
        <f>B43+0.01</f>
        <v>6.3799999999999919</v>
      </c>
      <c r="C58" t="s">
        <v>193</v>
      </c>
      <c r="D58" s="216" t="s">
        <v>170</v>
      </c>
      <c r="E58">
        <f>E43+2</f>
        <v>35</v>
      </c>
      <c r="F58" t="s">
        <v>163</v>
      </c>
      <c r="G58" t="b">
        <f t="shared" ref="G58:G75" si="7">F58=A58</f>
        <v>1</v>
      </c>
      <c r="H58" s="1146" t="s">
        <v>193</v>
      </c>
    </row>
    <row r="59" spans="1:8" x14ac:dyDescent="0.35">
      <c r="A59" t="s">
        <v>164</v>
      </c>
      <c r="B59" s="122">
        <f>B58+0.01</f>
        <v>6.3899999999999917</v>
      </c>
      <c r="C59" t="s">
        <v>193</v>
      </c>
      <c r="D59" s="216" t="s">
        <v>170</v>
      </c>
      <c r="E59">
        <f>E58+1</f>
        <v>36</v>
      </c>
      <c r="F59" t="s">
        <v>164</v>
      </c>
      <c r="G59" t="b">
        <f t="shared" si="7"/>
        <v>1</v>
      </c>
      <c r="H59" s="1146" t="s">
        <v>193</v>
      </c>
    </row>
    <row r="60" spans="1:8" x14ac:dyDescent="0.35">
      <c r="A60" t="s">
        <v>879</v>
      </c>
      <c r="B60" s="122">
        <f>B59+0.01</f>
        <v>6.3999999999999915</v>
      </c>
      <c r="C60" t="s">
        <v>193</v>
      </c>
      <c r="D60" s="216" t="s">
        <v>170</v>
      </c>
      <c r="E60">
        <f t="shared" ref="E60:E75" si="8">E59+1</f>
        <v>37</v>
      </c>
      <c r="F60" t="s">
        <v>879</v>
      </c>
      <c r="G60" t="b">
        <f t="shared" si="7"/>
        <v>1</v>
      </c>
      <c r="H60" s="1146" t="s">
        <v>193</v>
      </c>
    </row>
    <row r="61" spans="1:8" x14ac:dyDescent="0.35">
      <c r="A61" t="s">
        <v>1270</v>
      </c>
      <c r="B61" s="122">
        <f t="shared" ref="B61:B75" si="9">B60+0.01</f>
        <v>6.4099999999999913</v>
      </c>
      <c r="C61" t="s">
        <v>193</v>
      </c>
      <c r="D61" s="216" t="s">
        <v>170</v>
      </c>
      <c r="E61">
        <f t="shared" si="8"/>
        <v>38</v>
      </c>
      <c r="F61" t="s">
        <v>1270</v>
      </c>
      <c r="G61" t="b">
        <f t="shared" si="7"/>
        <v>1</v>
      </c>
      <c r="H61" s="1146" t="s">
        <v>193</v>
      </c>
    </row>
    <row r="62" spans="1:8" x14ac:dyDescent="0.35">
      <c r="A62" t="s">
        <v>299</v>
      </c>
      <c r="B62" s="122">
        <f t="shared" si="9"/>
        <v>6.419999999999991</v>
      </c>
      <c r="C62" t="s">
        <v>193</v>
      </c>
      <c r="D62" s="216" t="s">
        <v>170</v>
      </c>
      <c r="E62">
        <f t="shared" si="8"/>
        <v>39</v>
      </c>
      <c r="F62" t="s">
        <v>299</v>
      </c>
      <c r="G62" t="b">
        <f t="shared" si="7"/>
        <v>1</v>
      </c>
      <c r="H62" s="1146" t="s">
        <v>193</v>
      </c>
    </row>
    <row r="63" spans="1:8" x14ac:dyDescent="0.35">
      <c r="A63" t="s">
        <v>880</v>
      </c>
      <c r="B63" s="122">
        <f t="shared" si="9"/>
        <v>6.4299999999999908</v>
      </c>
      <c r="C63" t="s">
        <v>193</v>
      </c>
      <c r="D63" s="216" t="s">
        <v>170</v>
      </c>
      <c r="E63">
        <f t="shared" si="8"/>
        <v>40</v>
      </c>
      <c r="F63" t="s">
        <v>880</v>
      </c>
      <c r="G63" t="b">
        <f t="shared" si="7"/>
        <v>1</v>
      </c>
      <c r="H63" s="1146" t="s">
        <v>193</v>
      </c>
    </row>
    <row r="64" spans="1:8" x14ac:dyDescent="0.35">
      <c r="A64" t="s">
        <v>1115</v>
      </c>
      <c r="B64" s="122">
        <f t="shared" si="9"/>
        <v>6.4399999999999906</v>
      </c>
      <c r="C64" t="s">
        <v>193</v>
      </c>
      <c r="D64" s="216" t="s">
        <v>170</v>
      </c>
      <c r="E64">
        <f t="shared" si="8"/>
        <v>41</v>
      </c>
      <c r="F64" t="s">
        <v>1115</v>
      </c>
      <c r="G64" t="b">
        <f t="shared" si="7"/>
        <v>1</v>
      </c>
      <c r="H64" s="1146" t="s">
        <v>193</v>
      </c>
    </row>
    <row r="65" spans="1:8" x14ac:dyDescent="0.35">
      <c r="A65" t="s">
        <v>838</v>
      </c>
      <c r="B65" s="122">
        <f t="shared" si="9"/>
        <v>6.4499999999999904</v>
      </c>
      <c r="C65" t="s">
        <v>193</v>
      </c>
      <c r="D65" s="216" t="s">
        <v>170</v>
      </c>
      <c r="E65">
        <f t="shared" si="8"/>
        <v>42</v>
      </c>
      <c r="F65" t="s">
        <v>838</v>
      </c>
      <c r="G65" t="b">
        <f t="shared" si="7"/>
        <v>1</v>
      </c>
      <c r="H65" s="1146" t="s">
        <v>193</v>
      </c>
    </row>
    <row r="66" spans="1:8" x14ac:dyDescent="0.35">
      <c r="A66" t="s">
        <v>1116</v>
      </c>
      <c r="B66" s="122">
        <f t="shared" si="9"/>
        <v>6.4599999999999902</v>
      </c>
      <c r="C66" t="s">
        <v>193</v>
      </c>
      <c r="D66" s="216" t="s">
        <v>170</v>
      </c>
      <c r="E66">
        <f t="shared" si="8"/>
        <v>43</v>
      </c>
      <c r="F66" t="s">
        <v>1116</v>
      </c>
      <c r="G66" t="b">
        <f t="shared" si="7"/>
        <v>1</v>
      </c>
      <c r="H66" s="1146" t="s">
        <v>193</v>
      </c>
    </row>
    <row r="67" spans="1:8" x14ac:dyDescent="0.35">
      <c r="A67" t="s">
        <v>1809</v>
      </c>
      <c r="B67" s="122">
        <f t="shared" si="9"/>
        <v>6.46999999999999</v>
      </c>
      <c r="C67" t="s">
        <v>193</v>
      </c>
      <c r="D67" s="216" t="s">
        <v>170</v>
      </c>
      <c r="E67">
        <f t="shared" si="8"/>
        <v>44</v>
      </c>
      <c r="F67" t="s">
        <v>1809</v>
      </c>
      <c r="G67" t="b">
        <f t="shared" si="7"/>
        <v>1</v>
      </c>
      <c r="H67" s="1146" t="s">
        <v>193</v>
      </c>
    </row>
    <row r="68" spans="1:8" x14ac:dyDescent="0.35">
      <c r="A68" t="s">
        <v>1810</v>
      </c>
      <c r="B68" s="122">
        <f t="shared" si="9"/>
        <v>6.4799999999999898</v>
      </c>
      <c r="C68" t="s">
        <v>193</v>
      </c>
      <c r="D68" s="216" t="s">
        <v>170</v>
      </c>
      <c r="E68">
        <f t="shared" si="8"/>
        <v>45</v>
      </c>
      <c r="F68" t="s">
        <v>1810</v>
      </c>
      <c r="G68" t="b">
        <f t="shared" si="7"/>
        <v>1</v>
      </c>
      <c r="H68" s="1146" t="s">
        <v>193</v>
      </c>
    </row>
    <row r="69" spans="1:8" x14ac:dyDescent="0.35">
      <c r="A69" s="1132" t="s">
        <v>1824</v>
      </c>
      <c r="B69" s="1133">
        <f t="shared" si="9"/>
        <v>6.4899999999999896</v>
      </c>
      <c r="C69" s="1132" t="s">
        <v>193</v>
      </c>
      <c r="D69" s="1136" t="s">
        <v>170</v>
      </c>
      <c r="E69" s="1132">
        <f t="shared" si="8"/>
        <v>46</v>
      </c>
      <c r="F69" s="1132" t="s">
        <v>1824</v>
      </c>
      <c r="G69" s="1132" t="b">
        <f t="shared" si="7"/>
        <v>1</v>
      </c>
    </row>
    <row r="70" spans="1:8" x14ac:dyDescent="0.35">
      <c r="A70" s="1132" t="s">
        <v>1825</v>
      </c>
      <c r="B70" s="1133">
        <f t="shared" si="9"/>
        <v>6.4999999999999893</v>
      </c>
      <c r="C70" s="1132" t="s">
        <v>193</v>
      </c>
      <c r="D70" s="1136" t="s">
        <v>170</v>
      </c>
      <c r="E70" s="1132">
        <f t="shared" si="8"/>
        <v>47</v>
      </c>
      <c r="F70" s="1132" t="s">
        <v>1825</v>
      </c>
      <c r="G70" s="1132" t="b">
        <f t="shared" si="7"/>
        <v>1</v>
      </c>
    </row>
    <row r="71" spans="1:8" x14ac:dyDescent="0.35">
      <c r="A71" s="1132" t="s">
        <v>1826</v>
      </c>
      <c r="B71" s="1133">
        <f t="shared" si="9"/>
        <v>6.5099999999999891</v>
      </c>
      <c r="C71" s="1132" t="s">
        <v>193</v>
      </c>
      <c r="D71" s="1136" t="s">
        <v>170</v>
      </c>
      <c r="E71" s="1132">
        <f t="shared" si="8"/>
        <v>48</v>
      </c>
      <c r="F71" s="1132" t="s">
        <v>1826</v>
      </c>
      <c r="G71" s="1132" t="b">
        <f t="shared" si="7"/>
        <v>1</v>
      </c>
    </row>
    <row r="72" spans="1:8" x14ac:dyDescent="0.35">
      <c r="A72" s="1132" t="s">
        <v>1827</v>
      </c>
      <c r="B72" s="1133">
        <f t="shared" si="9"/>
        <v>6.5199999999999889</v>
      </c>
      <c r="C72" s="1132" t="s">
        <v>193</v>
      </c>
      <c r="D72" s="1136" t="s">
        <v>170</v>
      </c>
      <c r="E72" s="1132">
        <f t="shared" si="8"/>
        <v>49</v>
      </c>
      <c r="F72" s="1132" t="s">
        <v>1827</v>
      </c>
      <c r="G72" s="1132" t="b">
        <f t="shared" si="7"/>
        <v>1</v>
      </c>
    </row>
    <row r="73" spans="1:8" x14ac:dyDescent="0.35">
      <c r="A73" s="1132" t="s">
        <v>1828</v>
      </c>
      <c r="B73" s="1133">
        <f t="shared" si="9"/>
        <v>6.5299999999999887</v>
      </c>
      <c r="C73" s="1132" t="s">
        <v>193</v>
      </c>
      <c r="D73" s="1136" t="s">
        <v>170</v>
      </c>
      <c r="E73" s="1132">
        <f t="shared" si="8"/>
        <v>50</v>
      </c>
      <c r="F73" s="1132" t="s">
        <v>1828</v>
      </c>
      <c r="G73" s="1132" t="b">
        <f t="shared" si="7"/>
        <v>1</v>
      </c>
    </row>
    <row r="74" spans="1:8" x14ac:dyDescent="0.35">
      <c r="A74" s="1132" t="s">
        <v>1829</v>
      </c>
      <c r="B74" s="1133">
        <f t="shared" si="9"/>
        <v>6.5399999999999885</v>
      </c>
      <c r="C74" s="1132" t="s">
        <v>193</v>
      </c>
      <c r="D74" s="1136" t="s">
        <v>170</v>
      </c>
      <c r="E74" s="1132">
        <f t="shared" si="8"/>
        <v>51</v>
      </c>
      <c r="F74" s="1132" t="s">
        <v>1829</v>
      </c>
      <c r="G74" s="1132" t="b">
        <f t="shared" si="7"/>
        <v>1</v>
      </c>
    </row>
    <row r="75" spans="1:8" x14ac:dyDescent="0.35">
      <c r="A75" s="1132" t="s">
        <v>1830</v>
      </c>
      <c r="B75" s="1133">
        <f t="shared" si="9"/>
        <v>6.5499999999999883</v>
      </c>
      <c r="C75" s="1132" t="s">
        <v>193</v>
      </c>
      <c r="D75" s="1136" t="s">
        <v>170</v>
      </c>
      <c r="E75" s="1132">
        <f t="shared" si="8"/>
        <v>52</v>
      </c>
      <c r="F75" s="1132" t="s">
        <v>1830</v>
      </c>
      <c r="G75" s="1132" t="b">
        <f t="shared" si="7"/>
        <v>1</v>
      </c>
    </row>
    <row r="76" spans="1:8" x14ac:dyDescent="0.35">
      <c r="B76" s="122"/>
    </row>
    <row r="78" spans="1:8" x14ac:dyDescent="0.35">
      <c r="A78" t="s">
        <v>1272</v>
      </c>
      <c r="B78" t="s">
        <v>193</v>
      </c>
      <c r="C78" s="122">
        <f>C43+0.01</f>
        <v>11.379999999999992</v>
      </c>
      <c r="D78" s="218" t="s">
        <v>300</v>
      </c>
      <c r="E78">
        <f>E43+1</f>
        <v>34</v>
      </c>
      <c r="F78" t="s">
        <v>1272</v>
      </c>
      <c r="G78" t="b">
        <f t="shared" ref="G78:G89" si="10">F78=A78</f>
        <v>1</v>
      </c>
    </row>
    <row r="79" spans="1:8" x14ac:dyDescent="0.35">
      <c r="A79" t="s">
        <v>1271</v>
      </c>
      <c r="B79" t="s">
        <v>193</v>
      </c>
      <c r="C79" s="122">
        <f>+C78+0.01</f>
        <v>11.389999999999992</v>
      </c>
      <c r="D79" s="218" t="s">
        <v>300</v>
      </c>
      <c r="E79">
        <f>E78+1</f>
        <v>35</v>
      </c>
      <c r="F79" t="s">
        <v>1271</v>
      </c>
      <c r="G79" t="b">
        <f t="shared" si="10"/>
        <v>1</v>
      </c>
    </row>
    <row r="80" spans="1:8" x14ac:dyDescent="0.35">
      <c r="A80" t="s">
        <v>1756</v>
      </c>
      <c r="B80" t="s">
        <v>193</v>
      </c>
      <c r="C80" s="122">
        <f t="shared" ref="C80:C89" si="11">+C79+0.01</f>
        <v>11.399999999999991</v>
      </c>
      <c r="D80" s="218" t="s">
        <v>300</v>
      </c>
      <c r="E80">
        <f>E79+1</f>
        <v>36</v>
      </c>
      <c r="F80" t="s">
        <v>1756</v>
      </c>
      <c r="G80" t="b">
        <f t="shared" si="10"/>
        <v>1</v>
      </c>
    </row>
    <row r="81" spans="1:7" x14ac:dyDescent="0.35">
      <c r="A81" s="1132" t="s">
        <v>1831</v>
      </c>
      <c r="B81" s="1132" t="s">
        <v>193</v>
      </c>
      <c r="C81" s="1133">
        <f t="shared" si="11"/>
        <v>11.409999999999991</v>
      </c>
      <c r="D81" s="1137" t="s">
        <v>300</v>
      </c>
      <c r="E81" s="1132">
        <f t="shared" ref="E81:E89" si="12">E80+1</f>
        <v>37</v>
      </c>
      <c r="F81" s="1132" t="s">
        <v>1831</v>
      </c>
      <c r="G81" s="1132" t="b">
        <f t="shared" si="10"/>
        <v>1</v>
      </c>
    </row>
    <row r="82" spans="1:7" x14ac:dyDescent="0.35">
      <c r="A82" s="1132" t="s">
        <v>1832</v>
      </c>
      <c r="B82" s="1132" t="s">
        <v>193</v>
      </c>
      <c r="C82" s="1133">
        <f t="shared" si="11"/>
        <v>11.419999999999991</v>
      </c>
      <c r="D82" s="1137" t="s">
        <v>300</v>
      </c>
      <c r="E82" s="1132">
        <f t="shared" si="12"/>
        <v>38</v>
      </c>
      <c r="F82" s="1132" t="s">
        <v>1832</v>
      </c>
      <c r="G82" s="1132" t="b">
        <f t="shared" si="10"/>
        <v>1</v>
      </c>
    </row>
    <row r="83" spans="1:7" x14ac:dyDescent="0.35">
      <c r="A83" s="1132" t="s">
        <v>1833</v>
      </c>
      <c r="B83" s="1132" t="s">
        <v>193</v>
      </c>
      <c r="C83" s="1133">
        <f t="shared" si="11"/>
        <v>11.429999999999991</v>
      </c>
      <c r="D83" s="1137" t="s">
        <v>300</v>
      </c>
      <c r="E83" s="1132">
        <f t="shared" si="12"/>
        <v>39</v>
      </c>
      <c r="F83" s="1132" t="s">
        <v>1833</v>
      </c>
      <c r="G83" s="1132" t="b">
        <f t="shared" si="10"/>
        <v>1</v>
      </c>
    </row>
    <row r="84" spans="1:7" x14ac:dyDescent="0.35">
      <c r="A84" s="1132" t="s">
        <v>1834</v>
      </c>
      <c r="B84" s="1132" t="s">
        <v>193</v>
      </c>
      <c r="C84" s="1133">
        <f t="shared" si="11"/>
        <v>11.439999999999991</v>
      </c>
      <c r="D84" s="1137" t="s">
        <v>300</v>
      </c>
      <c r="E84" s="1132">
        <f t="shared" si="12"/>
        <v>40</v>
      </c>
      <c r="F84" s="1132" t="s">
        <v>1834</v>
      </c>
      <c r="G84" s="1132" t="b">
        <f t="shared" si="10"/>
        <v>1</v>
      </c>
    </row>
    <row r="85" spans="1:7" x14ac:dyDescent="0.35">
      <c r="A85" s="1132" t="s">
        <v>1835</v>
      </c>
      <c r="B85" s="1132" t="s">
        <v>193</v>
      </c>
      <c r="C85" s="1133">
        <f t="shared" si="11"/>
        <v>11.44999999999999</v>
      </c>
      <c r="D85" s="1137" t="s">
        <v>300</v>
      </c>
      <c r="E85" s="1132">
        <f t="shared" si="12"/>
        <v>41</v>
      </c>
      <c r="F85" s="1132" t="s">
        <v>1835</v>
      </c>
      <c r="G85" s="1132" t="b">
        <f t="shared" si="10"/>
        <v>1</v>
      </c>
    </row>
    <row r="86" spans="1:7" x14ac:dyDescent="0.35">
      <c r="A86" s="1132" t="s">
        <v>1836</v>
      </c>
      <c r="B86" s="1132" t="s">
        <v>193</v>
      </c>
      <c r="C86" s="1133">
        <f t="shared" si="11"/>
        <v>11.45999999999999</v>
      </c>
      <c r="D86" s="1137" t="s">
        <v>300</v>
      </c>
      <c r="E86" s="1132">
        <f t="shared" si="12"/>
        <v>42</v>
      </c>
      <c r="F86" s="1132" t="s">
        <v>1836</v>
      </c>
      <c r="G86" s="1132" t="b">
        <f t="shared" si="10"/>
        <v>1</v>
      </c>
    </row>
    <row r="87" spans="1:7" x14ac:dyDescent="0.35">
      <c r="A87" s="1132" t="s">
        <v>1837</v>
      </c>
      <c r="B87" s="1132" t="s">
        <v>193</v>
      </c>
      <c r="C87" s="1133">
        <f t="shared" si="11"/>
        <v>11.46999999999999</v>
      </c>
      <c r="D87" s="1137" t="s">
        <v>300</v>
      </c>
      <c r="E87" s="1132">
        <f t="shared" si="12"/>
        <v>43</v>
      </c>
      <c r="F87" s="1132" t="s">
        <v>1837</v>
      </c>
      <c r="G87" s="1132" t="b">
        <f t="shared" si="10"/>
        <v>1</v>
      </c>
    </row>
    <row r="88" spans="1:7" x14ac:dyDescent="0.35">
      <c r="A88" s="1132" t="s">
        <v>1838</v>
      </c>
      <c r="B88" s="1132" t="s">
        <v>193</v>
      </c>
      <c r="C88" s="1133">
        <f t="shared" si="11"/>
        <v>11.47999999999999</v>
      </c>
      <c r="D88" s="1137" t="s">
        <v>300</v>
      </c>
      <c r="E88" s="1132">
        <f t="shared" si="12"/>
        <v>44</v>
      </c>
      <c r="F88" s="1132" t="s">
        <v>1838</v>
      </c>
      <c r="G88" s="1132" t="b">
        <f t="shared" si="10"/>
        <v>1</v>
      </c>
    </row>
    <row r="89" spans="1:7" x14ac:dyDescent="0.35">
      <c r="A89" s="1132" t="s">
        <v>1839</v>
      </c>
      <c r="B89" s="1132" t="s">
        <v>193</v>
      </c>
      <c r="C89" s="1133">
        <f t="shared" si="11"/>
        <v>11.48999999999999</v>
      </c>
      <c r="D89" s="1137" t="s">
        <v>300</v>
      </c>
      <c r="E89" s="1132">
        <f t="shared" si="12"/>
        <v>45</v>
      </c>
      <c r="F89" s="1132" t="s">
        <v>1839</v>
      </c>
      <c r="G89" s="1132" t="b">
        <f t="shared" si="10"/>
        <v>1</v>
      </c>
    </row>
  </sheetData>
  <sortState xmlns:xlrd2="http://schemas.microsoft.com/office/spreadsheetml/2017/richdata2" ref="F4:F78">
    <sortCondition ref="F1"/>
  </sortState>
  <pageMargins left="0.7" right="0.7" top="0.75" bottom="0.75" header="0.3" footer="0.3"/>
  <pageSetup orientation="portrait" horizontalDpi="90" verticalDpi="90"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Q50"/>
  <sheetViews>
    <sheetView workbookViewId="0">
      <pane xSplit="2" ySplit="3" topLeftCell="C25" activePane="bottomRight" state="frozen"/>
      <selection activeCell="B159" sqref="B159"/>
      <selection pane="topRight" activeCell="B159" sqref="B159"/>
      <selection pane="bottomLeft" activeCell="B159" sqref="B159"/>
      <selection pane="bottomRight" activeCell="D25" sqref="D25"/>
    </sheetView>
  </sheetViews>
  <sheetFormatPr defaultColWidth="9.1796875" defaultRowHeight="14.5" outlineLevelCol="1" x14ac:dyDescent="0.35"/>
  <cols>
    <col min="2" max="2" width="48.81640625" bestFit="1" customWidth="1"/>
    <col min="3" max="3" width="15" customWidth="1" outlineLevel="1"/>
    <col min="4" max="4" width="13.7265625" customWidth="1" outlineLevel="1" collapsed="1"/>
    <col min="5" max="5" width="13.7265625" customWidth="1" outlineLevel="1"/>
    <col min="6" max="6" width="14.26953125" customWidth="1" outlineLevel="1"/>
    <col min="7" max="7" width="14.26953125" customWidth="1"/>
    <col min="8" max="8" width="15" customWidth="1"/>
    <col min="9" max="9" width="15" customWidth="1" outlineLevel="1"/>
    <col min="10" max="10" width="15.26953125" customWidth="1" outlineLevel="1" collapsed="1"/>
    <col min="11" max="12" width="15.26953125" customWidth="1" outlineLevel="1"/>
    <col min="13" max="13" width="15.26953125" bestFit="1" customWidth="1"/>
    <col min="14" max="14" width="16" bestFit="1" customWidth="1" collapsed="1"/>
    <col min="16" max="16" width="85.26953125" bestFit="1" customWidth="1"/>
    <col min="17" max="17" width="17.453125" bestFit="1" customWidth="1"/>
  </cols>
  <sheetData>
    <row r="1" spans="1:17" x14ac:dyDescent="0.35">
      <c r="A1" s="140" t="s">
        <v>1669</v>
      </c>
    </row>
    <row r="2" spans="1:17" x14ac:dyDescent="0.35">
      <c r="A2" s="1089"/>
      <c r="B2" s="1022"/>
      <c r="C2" s="1078" t="s">
        <v>1885</v>
      </c>
      <c r="D2" s="1090"/>
      <c r="E2" s="1090"/>
      <c r="F2" s="1085"/>
      <c r="G2" s="1078" t="s">
        <v>1670</v>
      </c>
      <c r="H2" s="1085"/>
      <c r="I2" s="1078" t="s">
        <v>1886</v>
      </c>
      <c r="J2" s="1090"/>
      <c r="K2" s="1090"/>
      <c r="L2" s="1085"/>
      <c r="M2" s="1078" t="s">
        <v>1671</v>
      </c>
      <c r="N2" s="1085"/>
    </row>
    <row r="3" spans="1:17" ht="29" x14ac:dyDescent="0.35">
      <c r="A3" s="1268" t="s">
        <v>1887</v>
      </c>
      <c r="B3" s="1269" t="s">
        <v>1888</v>
      </c>
      <c r="C3" s="1268" t="s">
        <v>1889</v>
      </c>
      <c r="D3" s="1270" t="s">
        <v>1890</v>
      </c>
      <c r="E3" s="1270" t="s">
        <v>1891</v>
      </c>
      <c r="F3" s="1269" t="s">
        <v>1892</v>
      </c>
      <c r="G3" s="1268" t="s">
        <v>1893</v>
      </c>
      <c r="H3" s="1269" t="s">
        <v>1894</v>
      </c>
      <c r="I3" s="1268" t="s">
        <v>1895</v>
      </c>
      <c r="J3" s="1270" t="s">
        <v>1896</v>
      </c>
      <c r="K3" s="1270" t="s">
        <v>1897</v>
      </c>
      <c r="L3" s="1270" t="s">
        <v>1898</v>
      </c>
      <c r="M3" s="1268" t="s">
        <v>1899</v>
      </c>
      <c r="N3" s="1269" t="s">
        <v>1900</v>
      </c>
      <c r="P3" s="669"/>
      <c r="Q3" s="669"/>
    </row>
    <row r="4" spans="1:17" x14ac:dyDescent="0.35">
      <c r="A4" s="1029"/>
      <c r="B4" s="1030" t="s">
        <v>325</v>
      </c>
      <c r="C4" s="1079">
        <f>'Detailed Summary'!D47</f>
        <v>182074206.58999991</v>
      </c>
      <c r="D4" s="242">
        <f>C45</f>
        <v>213546110.51518175</v>
      </c>
      <c r="E4" s="242">
        <f>D45</f>
        <v>134725962.22028765</v>
      </c>
      <c r="F4" s="1086">
        <f>E45</f>
        <v>126837249.57794683</v>
      </c>
      <c r="G4" s="1079">
        <f>C4</f>
        <v>182074206.58999991</v>
      </c>
      <c r="H4" s="1086">
        <f>G45</f>
        <v>48749561.749018423</v>
      </c>
      <c r="I4" s="1079">
        <f>'Detailed Summary'!D49</f>
        <v>2948894387.0453196</v>
      </c>
      <c r="J4" s="242">
        <f>I45</f>
        <v>2910473035.7707133</v>
      </c>
      <c r="K4" s="242">
        <f>J45</f>
        <v>2802449377.1695065</v>
      </c>
      <c r="L4" s="1086">
        <f>K45</f>
        <v>2900790224.7216001</v>
      </c>
      <c r="M4" s="1079">
        <f>I4</f>
        <v>2948894387.0453196</v>
      </c>
      <c r="N4" s="1086">
        <f>M45</f>
        <v>2866503992.9496746</v>
      </c>
    </row>
    <row r="5" spans="1:17" x14ac:dyDescent="0.35">
      <c r="A5" s="1075" t="s">
        <v>1672</v>
      </c>
      <c r="B5" s="1030" t="s">
        <v>1673</v>
      </c>
      <c r="C5" s="1076">
        <f>HLOOKUP($B5,'Detailed Summary'!$E$10:$AR$65,38,FALSE)</f>
        <v>32253615.866947763</v>
      </c>
      <c r="D5" s="954">
        <f>HLOOKUP($B5,'Detailed Summary'!$E$10:$AR$126,99,FALSE)</f>
        <v>-44024033.448781371</v>
      </c>
      <c r="E5" s="954">
        <f>HLOOKUP($B5,'Detailed Summary'!$E$10:$AR$189,160,FALSE)</f>
        <v>152365.35604699998</v>
      </c>
      <c r="F5" s="1080">
        <f>HLOOKUP($B5,'Detailed Summary'!$E$10:$AR$250,221,FALSE)</f>
        <v>-2718384.2726579998</v>
      </c>
      <c r="G5" s="1076">
        <f>SUM(C5:F5)</f>
        <v>-14336436.498444607</v>
      </c>
      <c r="H5" s="1080">
        <f>HLOOKUP($B5,'Detailed Summary'!$E$10:$AR$311,282,FALSE)</f>
        <v>-367107.89825900004</v>
      </c>
      <c r="I5" s="1076">
        <f>HLOOKUP($B5,'Detailed Summary'!$E$10:$AR$65,40,FALSE)</f>
        <v>0</v>
      </c>
      <c r="J5" s="954">
        <f>HLOOKUP($B5,'Detailed Summary'!$E$10:$AR$126,101,FALSE)</f>
        <v>0</v>
      </c>
      <c r="K5" s="954">
        <f>HLOOKUP($B5,'Detailed Summary'!$E$10:$AR$189,162,FALSE)</f>
        <v>0</v>
      </c>
      <c r="L5" s="1080">
        <f>HLOOKUP($B5,'Detailed Summary'!$E$10:$AR$250,223,FALSE)</f>
        <v>0</v>
      </c>
      <c r="M5" s="1076">
        <f>SUM(I5:L5)</f>
        <v>0</v>
      </c>
      <c r="N5" s="1080">
        <f>HLOOKUP($B5,'Detailed Summary'!$E$10:$AR$311,284,FALSE)</f>
        <v>0</v>
      </c>
    </row>
    <row r="6" spans="1:17" x14ac:dyDescent="0.35">
      <c r="A6" s="1075" t="s">
        <v>1674</v>
      </c>
      <c r="B6" s="1030" t="s">
        <v>1675</v>
      </c>
      <c r="C6" s="1076">
        <f>HLOOKUP($B6,'Detailed Summary'!$E$10:$AR$65,38,FALSE)</f>
        <v>2084412.2876831293</v>
      </c>
      <c r="D6" s="954">
        <f>HLOOKUP($B6,'Detailed Summary'!$E$10:$AR$126,99,FALSE)</f>
        <v>0</v>
      </c>
      <c r="E6" s="954">
        <f>HLOOKUP($B6,'Detailed Summary'!$E$10:$AR$189,160,FALSE)</f>
        <v>0</v>
      </c>
      <c r="F6" s="1080">
        <f>HLOOKUP($B6,'Detailed Summary'!$E$10:$AR$250,221,FALSE)</f>
        <v>0</v>
      </c>
      <c r="G6" s="1076">
        <f t="shared" ref="G6:G44" si="0">SUM(C6:F6)</f>
        <v>2084412.2876831293</v>
      </c>
      <c r="H6" s="1080">
        <f>HLOOKUP($B6,'Detailed Summary'!$E$10:$AR$311,282,FALSE)</f>
        <v>0</v>
      </c>
      <c r="I6" s="1076">
        <f>HLOOKUP($B6,'Detailed Summary'!$E$10:$AR$65,40,FALSE)</f>
        <v>0</v>
      </c>
      <c r="J6" s="954">
        <f>HLOOKUP($B6,'Detailed Summary'!$E$10:$AR$126,101,FALSE)</f>
        <v>0</v>
      </c>
      <c r="K6" s="954">
        <f>HLOOKUP($B6,'Detailed Summary'!$E$10:$AR$189,162,FALSE)</f>
        <v>0</v>
      </c>
      <c r="L6" s="1080">
        <f>HLOOKUP($B6,'Detailed Summary'!$E$10:$AR$250,223,FALSE)</f>
        <v>0</v>
      </c>
      <c r="M6" s="1076">
        <f t="shared" ref="M6:M44" si="1">SUM(I6:L6)</f>
        <v>0</v>
      </c>
      <c r="N6" s="1080">
        <f>HLOOKUP($B6,'Detailed Summary'!$E$10:$AR$311,284,FALSE)</f>
        <v>0</v>
      </c>
    </row>
    <row r="7" spans="1:17" x14ac:dyDescent="0.35">
      <c r="A7" s="1075" t="s">
        <v>1676</v>
      </c>
      <c r="B7" s="1030" t="s">
        <v>1677</v>
      </c>
      <c r="C7" s="1076">
        <f>HLOOKUP($B7,'Detailed Summary'!$E$10:$AR$65,38,FALSE)</f>
        <v>-68328.809286971111</v>
      </c>
      <c r="D7" s="954">
        <f>HLOOKUP($B7,'Detailed Summary'!$E$10:$AR$126,99,FALSE)</f>
        <v>-17690711.461626638</v>
      </c>
      <c r="E7" s="954">
        <f>HLOOKUP($B7,'Detailed Summary'!$E$10:$AR$189,160,FALSE)</f>
        <v>0</v>
      </c>
      <c r="F7" s="1080">
        <f>HLOOKUP($B7,'Detailed Summary'!$E$10:$AR$250,221,FALSE)</f>
        <v>0</v>
      </c>
      <c r="G7" s="1076">
        <f t="shared" si="0"/>
        <v>-17759040.270913608</v>
      </c>
      <c r="H7" s="1080">
        <f>HLOOKUP($B7,'Detailed Summary'!$E$10:$AR$311,282,FALSE)</f>
        <v>0</v>
      </c>
      <c r="I7" s="1076">
        <f>HLOOKUP($B7,'Detailed Summary'!$E$10:$AR$65,40,FALSE)</f>
        <v>0</v>
      </c>
      <c r="J7" s="954">
        <f>HLOOKUP($B7,'Detailed Summary'!$E$10:$AR$126,101,FALSE)</f>
        <v>0</v>
      </c>
      <c r="K7" s="954">
        <f>HLOOKUP($B7,'Detailed Summary'!$E$10:$AR$189,162,FALSE)</f>
        <v>0</v>
      </c>
      <c r="L7" s="1080">
        <f>HLOOKUP($B7,'Detailed Summary'!$E$10:$AR$250,223,FALSE)</f>
        <v>0</v>
      </c>
      <c r="M7" s="1076">
        <f t="shared" si="1"/>
        <v>0</v>
      </c>
      <c r="N7" s="1080">
        <f>HLOOKUP($B7,'Detailed Summary'!$E$10:$AR$311,284,FALSE)</f>
        <v>0</v>
      </c>
    </row>
    <row r="8" spans="1:17" x14ac:dyDescent="0.35">
      <c r="A8" s="1075" t="s">
        <v>1678</v>
      </c>
      <c r="B8" s="1030" t="s">
        <v>1679</v>
      </c>
      <c r="C8" s="1076">
        <f>HLOOKUP($B8,'Detailed Summary'!$E$10:$AR$65,38,FALSE)</f>
        <v>-2391601.7753268979</v>
      </c>
      <c r="D8" s="954">
        <f>HLOOKUP($B8,'Detailed Summary'!$E$10:$AR$126,99,FALSE)</f>
        <v>133104.75165847223</v>
      </c>
      <c r="E8" s="954">
        <f>HLOOKUP($B8,'Detailed Summary'!$E$10:$AR$189,160,FALSE)</f>
        <v>-348814.75209316192</v>
      </c>
      <c r="F8" s="1080">
        <f>HLOOKUP($B8,'Detailed Summary'!$E$10:$AR$250,221,FALSE)</f>
        <v>3984285.403344369</v>
      </c>
      <c r="G8" s="1076">
        <f t="shared" si="0"/>
        <v>1376973.6275827815</v>
      </c>
      <c r="H8" s="1080">
        <f>HLOOKUP($B8,'Detailed Summary'!$E$10:$AR$311,282,FALSE)</f>
        <v>184598.59659993602</v>
      </c>
      <c r="I8" s="1076">
        <f>HLOOKUP($B8,'Detailed Summary'!$E$10:$AR$65,40,FALSE)</f>
        <v>0</v>
      </c>
      <c r="J8" s="954">
        <f>HLOOKUP($B8,'Detailed Summary'!$E$10:$AR$126,101,FALSE)</f>
        <v>0</v>
      </c>
      <c r="K8" s="954">
        <f>HLOOKUP($B8,'Detailed Summary'!$E$10:$AR$189,162,FALSE)</f>
        <v>0</v>
      </c>
      <c r="L8" s="1080">
        <f>HLOOKUP($B8,'Detailed Summary'!$E$10:$AR$250,223,FALSE)</f>
        <v>0</v>
      </c>
      <c r="M8" s="1076">
        <f t="shared" si="1"/>
        <v>0</v>
      </c>
      <c r="N8" s="1080">
        <f>HLOOKUP($B8,'Detailed Summary'!$E$10:$AR$311,284,FALSE)</f>
        <v>0</v>
      </c>
    </row>
    <row r="9" spans="1:17" x14ac:dyDescent="0.35">
      <c r="A9" s="1075" t="s">
        <v>1680</v>
      </c>
      <c r="B9" s="1030" t="s">
        <v>1681</v>
      </c>
      <c r="C9" s="1076">
        <f>HLOOKUP($B9,'Detailed Summary'!$E$10:$AR$65,38,FALSE)</f>
        <v>16074542.57656165</v>
      </c>
      <c r="D9" s="954">
        <f>HLOOKUP($B9,'Detailed Summary'!$E$10:$AR$126,99,FALSE)</f>
        <v>-596614.66645446536</v>
      </c>
      <c r="E9" s="954">
        <f>HLOOKUP($B9,'Detailed Summary'!$E$10:$AR$189,160,FALSE)</f>
        <v>543136.50103020924</v>
      </c>
      <c r="F9" s="1080">
        <f>HLOOKUP($B9,'Detailed Summary'!$E$10:$AR$250,221,FALSE)</f>
        <v>532996.14814697567</v>
      </c>
      <c r="G9" s="1076">
        <f t="shared" si="0"/>
        <v>16554060.559284369</v>
      </c>
      <c r="H9" s="1080">
        <f>HLOOKUP($B9,'Detailed Summary'!$E$10:$AR$311,282,FALSE)</f>
        <v>100756.73972158178</v>
      </c>
      <c r="I9" s="1076">
        <f>HLOOKUP($B9,'Detailed Summary'!$E$10:$AR$65,40,FALSE)</f>
        <v>0</v>
      </c>
      <c r="J9" s="954">
        <f>HLOOKUP($B9,'Detailed Summary'!$E$10:$AR$126,101,FALSE)</f>
        <v>0</v>
      </c>
      <c r="K9" s="954">
        <f>HLOOKUP($B9,'Detailed Summary'!$E$10:$AR$189,162,FALSE)</f>
        <v>0</v>
      </c>
      <c r="L9" s="1080">
        <f>HLOOKUP($B9,'Detailed Summary'!$E$10:$AR$250,223,FALSE)</f>
        <v>0</v>
      </c>
      <c r="M9" s="1076">
        <f t="shared" si="1"/>
        <v>0</v>
      </c>
      <c r="N9" s="1080">
        <f>HLOOKUP($B9,'Detailed Summary'!$E$10:$AR$311,284,FALSE)</f>
        <v>0</v>
      </c>
    </row>
    <row r="10" spans="1:17" x14ac:dyDescent="0.35">
      <c r="A10" s="1075" t="s">
        <v>1682</v>
      </c>
      <c r="B10" s="1030" t="s">
        <v>1638</v>
      </c>
      <c r="C10" s="1076">
        <f>HLOOKUP($B10,'Detailed Summary'!$E$10:$AR$65,38,FALSE)</f>
        <v>213041.17074922178</v>
      </c>
      <c r="D10" s="954">
        <f>HLOOKUP($B10,'Detailed Summary'!$E$10:$AR$126,99,FALSE)</f>
        <v>0</v>
      </c>
      <c r="E10" s="954">
        <f>HLOOKUP($B10,'Detailed Summary'!$E$10:$AR$189,160,FALSE)</f>
        <v>0</v>
      </c>
      <c r="F10" s="1080">
        <f>HLOOKUP($B10,'Detailed Summary'!$E$10:$AR$250,221,FALSE)</f>
        <v>0</v>
      </c>
      <c r="G10" s="1076">
        <f t="shared" si="0"/>
        <v>213041.17074922178</v>
      </c>
      <c r="H10" s="1080">
        <f>HLOOKUP($B10,'Detailed Summary'!$E$10:$AR$311,282,FALSE)</f>
        <v>0</v>
      </c>
      <c r="I10" s="1076">
        <f>HLOOKUP($B10,'Detailed Summary'!$E$10:$AR$65,40,FALSE)</f>
        <v>0</v>
      </c>
      <c r="J10" s="954">
        <f>HLOOKUP($B10,'Detailed Summary'!$E$10:$AR$126,101,FALSE)</f>
        <v>0</v>
      </c>
      <c r="K10" s="954">
        <f>HLOOKUP($B10,'Detailed Summary'!$E$10:$AR$189,162,FALSE)</f>
        <v>0</v>
      </c>
      <c r="L10" s="1080">
        <f>HLOOKUP($B10,'Detailed Summary'!$E$10:$AR$250,223,FALSE)</f>
        <v>0</v>
      </c>
      <c r="M10" s="1076">
        <f t="shared" si="1"/>
        <v>0</v>
      </c>
      <c r="N10" s="1080">
        <f>HLOOKUP($B10,'Detailed Summary'!$E$10:$AR$311,284,FALSE)</f>
        <v>0</v>
      </c>
    </row>
    <row r="11" spans="1:17" x14ac:dyDescent="0.35">
      <c r="A11" s="1075" t="s">
        <v>1683</v>
      </c>
      <c r="B11" s="1030" t="s">
        <v>1684</v>
      </c>
      <c r="C11" s="1076">
        <f>HLOOKUP($B11,'Detailed Summary'!$E$10:$AR$65,38,FALSE)</f>
        <v>-183413.51902969996</v>
      </c>
      <c r="D11" s="954">
        <f>HLOOKUP($B11,'Detailed Summary'!$E$10:$AR$126,99,FALSE)</f>
        <v>0</v>
      </c>
      <c r="E11" s="954">
        <f>HLOOKUP($B11,'Detailed Summary'!$E$10:$AR$189,160,FALSE)</f>
        <v>0</v>
      </c>
      <c r="F11" s="1080">
        <f>HLOOKUP($B11,'Detailed Summary'!$E$10:$AR$250,221,FALSE)</f>
        <v>0</v>
      </c>
      <c r="G11" s="1076">
        <f t="shared" si="0"/>
        <v>-183413.51902969996</v>
      </c>
      <c r="H11" s="1080">
        <f>HLOOKUP($B11,'Detailed Summary'!$E$10:$AR$311,282,FALSE)</f>
        <v>0</v>
      </c>
      <c r="I11" s="1076">
        <f>HLOOKUP($B11,'Detailed Summary'!$E$10:$AR$65,40,FALSE)</f>
        <v>0</v>
      </c>
      <c r="J11" s="954">
        <f>HLOOKUP($B11,'Detailed Summary'!$E$10:$AR$126,101,FALSE)</f>
        <v>0</v>
      </c>
      <c r="K11" s="954">
        <f>HLOOKUP($B11,'Detailed Summary'!$E$10:$AR$189,162,FALSE)</f>
        <v>0</v>
      </c>
      <c r="L11" s="1080">
        <f>HLOOKUP($B11,'Detailed Summary'!$E$10:$AR$250,223,FALSE)</f>
        <v>0</v>
      </c>
      <c r="M11" s="1076">
        <f t="shared" si="1"/>
        <v>0</v>
      </c>
      <c r="N11" s="1080">
        <f>HLOOKUP($B11,'Detailed Summary'!$E$10:$AR$311,284,FALSE)</f>
        <v>0</v>
      </c>
    </row>
    <row r="12" spans="1:17" x14ac:dyDescent="0.35">
      <c r="A12" s="1075" t="s">
        <v>1685</v>
      </c>
      <c r="B12" s="1030" t="s">
        <v>1686</v>
      </c>
      <c r="C12" s="1076">
        <f>HLOOKUP($B12,'Detailed Summary'!$E$10:$AR$65,38,FALSE)</f>
        <v>-678.41161519914863</v>
      </c>
      <c r="D12" s="954">
        <f>HLOOKUP($B12,'Detailed Summary'!$E$10:$AR$126,99,FALSE)</f>
        <v>0</v>
      </c>
      <c r="E12" s="954">
        <f>HLOOKUP($B12,'Detailed Summary'!$E$10:$AR$189,160,FALSE)</f>
        <v>0</v>
      </c>
      <c r="F12" s="1080">
        <f>HLOOKUP($B12,'Detailed Summary'!$E$10:$AR$250,221,FALSE)</f>
        <v>0</v>
      </c>
      <c r="G12" s="1076">
        <f t="shared" si="0"/>
        <v>-678.41161519914863</v>
      </c>
      <c r="H12" s="1080">
        <f>HLOOKUP($B12,'Detailed Summary'!$E$10:$AR$311,282,FALSE)</f>
        <v>0</v>
      </c>
      <c r="I12" s="1076">
        <f>HLOOKUP($B12,'Detailed Summary'!$E$10:$AR$65,40,FALSE)</f>
        <v>0</v>
      </c>
      <c r="J12" s="954">
        <f>HLOOKUP($B12,'Detailed Summary'!$E$10:$AR$126,101,FALSE)</f>
        <v>0</v>
      </c>
      <c r="K12" s="954">
        <f>HLOOKUP($B12,'Detailed Summary'!$E$10:$AR$189,162,FALSE)</f>
        <v>0</v>
      </c>
      <c r="L12" s="1080">
        <f>HLOOKUP($B12,'Detailed Summary'!$E$10:$AR$250,223,FALSE)</f>
        <v>0</v>
      </c>
      <c r="M12" s="1076">
        <f t="shared" si="1"/>
        <v>0</v>
      </c>
      <c r="N12" s="1080">
        <f>HLOOKUP($B12,'Detailed Summary'!$E$10:$AR$311,284,FALSE)</f>
        <v>0</v>
      </c>
    </row>
    <row r="13" spans="1:17" x14ac:dyDescent="0.35">
      <c r="A13" s="1075" t="s">
        <v>1687</v>
      </c>
      <c r="B13" s="1030" t="s">
        <v>1078</v>
      </c>
      <c r="C13" s="1076">
        <f>HLOOKUP($B13,'Detailed Summary'!$E$10:$AR$65,38,FALSE)</f>
        <v>13658.449104713156</v>
      </c>
      <c r="D13" s="954">
        <f>HLOOKUP($B13,'Detailed Summary'!$E$10:$AR$126,99,FALSE)</f>
        <v>-203582.65075738163</v>
      </c>
      <c r="E13" s="954">
        <f>HLOOKUP($B13,'Detailed Summary'!$E$10:$AR$189,160,FALSE)</f>
        <v>0</v>
      </c>
      <c r="F13" s="1080">
        <f>HLOOKUP($B13,'Detailed Summary'!$E$10:$AR$250,221,FALSE)</f>
        <v>0</v>
      </c>
      <c r="G13" s="1076">
        <f t="shared" si="0"/>
        <v>-189924.20165266847</v>
      </c>
      <c r="H13" s="1080">
        <f>HLOOKUP($B13,'Detailed Summary'!$E$10:$AR$311,282,FALSE)</f>
        <v>0</v>
      </c>
      <c r="I13" s="1076">
        <f>HLOOKUP($B13,'Detailed Summary'!$E$10:$AR$65,40,FALSE)</f>
        <v>0</v>
      </c>
      <c r="J13" s="954">
        <f>HLOOKUP($B13,'Detailed Summary'!$E$10:$AR$126,101,FALSE)</f>
        <v>0</v>
      </c>
      <c r="K13" s="954">
        <f>HLOOKUP($B13,'Detailed Summary'!$E$10:$AR$189,162,FALSE)</f>
        <v>0</v>
      </c>
      <c r="L13" s="1080">
        <f>HLOOKUP($B13,'Detailed Summary'!$E$10:$AR$250,223,FALSE)</f>
        <v>0</v>
      </c>
      <c r="M13" s="1076">
        <f t="shared" si="1"/>
        <v>0</v>
      </c>
      <c r="N13" s="1080">
        <f>HLOOKUP($B13,'Detailed Summary'!$E$10:$AR$311,284,FALSE)</f>
        <v>0</v>
      </c>
    </row>
    <row r="14" spans="1:17" x14ac:dyDescent="0.35">
      <c r="A14" s="1075" t="s">
        <v>1688</v>
      </c>
      <c r="B14" s="1030" t="s">
        <v>1689</v>
      </c>
      <c r="C14" s="1076">
        <f>HLOOKUP($B14,'Detailed Summary'!$E$10:$AR$65,38,FALSE)</f>
        <v>18993.65433911428</v>
      </c>
      <c r="D14" s="954">
        <f>HLOOKUP($B14,'Detailed Summary'!$E$10:$AR$126,99,FALSE)</f>
        <v>0</v>
      </c>
      <c r="E14" s="954">
        <f>HLOOKUP($B14,'Detailed Summary'!$E$10:$AR$189,160,FALSE)</f>
        <v>0</v>
      </c>
      <c r="F14" s="1080">
        <f>HLOOKUP($B14,'Detailed Summary'!$E$10:$AR$250,221,FALSE)</f>
        <v>0</v>
      </c>
      <c r="G14" s="1076">
        <f t="shared" si="0"/>
        <v>18993.65433911428</v>
      </c>
      <c r="H14" s="1080">
        <f>HLOOKUP($B14,'Detailed Summary'!$E$10:$AR$311,282,FALSE)</f>
        <v>0</v>
      </c>
      <c r="I14" s="1076">
        <f>HLOOKUP($B14,'Detailed Summary'!$E$10:$AR$65,40,FALSE)</f>
        <v>0</v>
      </c>
      <c r="J14" s="954">
        <f>HLOOKUP($B14,'Detailed Summary'!$E$10:$AR$126,101,FALSE)</f>
        <v>0</v>
      </c>
      <c r="K14" s="954">
        <f>HLOOKUP($B14,'Detailed Summary'!$E$10:$AR$189,162,FALSE)</f>
        <v>0</v>
      </c>
      <c r="L14" s="1080">
        <f>HLOOKUP($B14,'Detailed Summary'!$E$10:$AR$250,223,FALSE)</f>
        <v>0</v>
      </c>
      <c r="M14" s="1076">
        <f t="shared" si="1"/>
        <v>0</v>
      </c>
      <c r="N14" s="1080">
        <f>HLOOKUP($B14,'Detailed Summary'!$E$10:$AR$311,284,FALSE)</f>
        <v>0</v>
      </c>
    </row>
    <row r="15" spans="1:17" x14ac:dyDescent="0.35">
      <c r="A15" s="1075" t="s">
        <v>1690</v>
      </c>
      <c r="B15" s="1030" t="s">
        <v>1691</v>
      </c>
      <c r="C15" s="1076">
        <f>HLOOKUP($B15,'Detailed Summary'!$E$10:$AR$65,38,FALSE)</f>
        <v>1105216.3354017462</v>
      </c>
      <c r="D15" s="954">
        <f>HLOOKUP($B15,'Detailed Summary'!$E$10:$AR$126,99,FALSE)</f>
        <v>-185023.04623741916</v>
      </c>
      <c r="E15" s="954">
        <f>HLOOKUP($B15,'Detailed Summary'!$E$10:$AR$189,160,FALSE)</f>
        <v>-81134.752065464156</v>
      </c>
      <c r="F15" s="1080">
        <f>HLOOKUP($B15,'Detailed Summary'!$E$10:$AR$250,221,FALSE)</f>
        <v>-19246.648578410714</v>
      </c>
      <c r="G15" s="1076">
        <f t="shared" si="0"/>
        <v>819811.88852045219</v>
      </c>
      <c r="H15" s="1080">
        <f>HLOOKUP($B15,'Detailed Summary'!$E$10:$AR$311,282,FALSE)</f>
        <v>-1522.7486420287016</v>
      </c>
      <c r="I15" s="1076">
        <f>HLOOKUP($B15,'Detailed Summary'!$E$10:$AR$65,40,FALSE)</f>
        <v>0</v>
      </c>
      <c r="J15" s="954">
        <f>HLOOKUP($B15,'Detailed Summary'!$E$10:$AR$126,101,FALSE)</f>
        <v>0</v>
      </c>
      <c r="K15" s="954">
        <f>HLOOKUP($B15,'Detailed Summary'!$E$10:$AR$189,162,FALSE)</f>
        <v>0</v>
      </c>
      <c r="L15" s="1080">
        <f>HLOOKUP($B15,'Detailed Summary'!$E$10:$AR$250,223,FALSE)</f>
        <v>0</v>
      </c>
      <c r="M15" s="1076">
        <f t="shared" si="1"/>
        <v>0</v>
      </c>
      <c r="N15" s="1080">
        <f>HLOOKUP($B15,'Detailed Summary'!$E$10:$AR$311,284,FALSE)</f>
        <v>0</v>
      </c>
    </row>
    <row r="16" spans="1:17" x14ac:dyDescent="0.35">
      <c r="A16" s="1075" t="s">
        <v>1692</v>
      </c>
      <c r="B16" s="1030" t="s">
        <v>1030</v>
      </c>
      <c r="C16" s="1076">
        <f>HLOOKUP($B16,'Detailed Summary'!$E$10:$AR$65,38,FALSE)</f>
        <v>-151116.36784572125</v>
      </c>
      <c r="D16" s="954">
        <f>HLOOKUP($B16,'Detailed Summary'!$E$10:$AR$126,99,FALSE)</f>
        <v>0</v>
      </c>
      <c r="E16" s="954">
        <f>HLOOKUP($B16,'Detailed Summary'!$E$10:$AR$189,160,FALSE)</f>
        <v>0</v>
      </c>
      <c r="F16" s="1080">
        <f>HLOOKUP($B16,'Detailed Summary'!$E$10:$AR$250,221,FALSE)</f>
        <v>0</v>
      </c>
      <c r="G16" s="1076">
        <f t="shared" si="0"/>
        <v>-151116.36784572125</v>
      </c>
      <c r="H16" s="1080">
        <f>HLOOKUP($B16,'Detailed Summary'!$E$10:$AR$311,282,FALSE)</f>
        <v>0</v>
      </c>
      <c r="I16" s="1076">
        <f>HLOOKUP($B16,'Detailed Summary'!$E$10:$AR$65,40,FALSE)</f>
        <v>0</v>
      </c>
      <c r="J16" s="954">
        <f>HLOOKUP($B16,'Detailed Summary'!$E$10:$AR$126,101,FALSE)</f>
        <v>0</v>
      </c>
      <c r="K16" s="954">
        <f>HLOOKUP($B16,'Detailed Summary'!$E$10:$AR$189,162,FALSE)</f>
        <v>0</v>
      </c>
      <c r="L16" s="1080">
        <f>HLOOKUP($B16,'Detailed Summary'!$E$10:$AR$250,223,FALSE)</f>
        <v>0</v>
      </c>
      <c r="M16" s="1076">
        <f t="shared" si="1"/>
        <v>0</v>
      </c>
      <c r="N16" s="1080">
        <f>HLOOKUP($B16,'Detailed Summary'!$E$10:$AR$311,284,FALSE)</f>
        <v>0</v>
      </c>
    </row>
    <row r="17" spans="1:14" x14ac:dyDescent="0.35">
      <c r="A17" s="1075" t="s">
        <v>1693</v>
      </c>
      <c r="B17" s="1030" t="s">
        <v>1694</v>
      </c>
      <c r="C17" s="1076">
        <f>HLOOKUP($B17,'Detailed Summary'!$E$10:$AR$65,38,FALSE)</f>
        <v>-30503.742766919091</v>
      </c>
      <c r="D17" s="954">
        <f>HLOOKUP($B17,'Detailed Summary'!$E$10:$AR$126,99,FALSE)</f>
        <v>0</v>
      </c>
      <c r="E17" s="954">
        <f>HLOOKUP($B17,'Detailed Summary'!$E$10:$AR$189,160,FALSE)</f>
        <v>0</v>
      </c>
      <c r="F17" s="1080">
        <f>HLOOKUP($B17,'Detailed Summary'!$E$10:$AR$250,221,FALSE)</f>
        <v>0</v>
      </c>
      <c r="G17" s="1076">
        <f t="shared" si="0"/>
        <v>-30503.742766919091</v>
      </c>
      <c r="H17" s="1080">
        <f>HLOOKUP($B17,'Detailed Summary'!$E$10:$AR$311,282,FALSE)</f>
        <v>0</v>
      </c>
      <c r="I17" s="1076">
        <f>HLOOKUP($B17,'Detailed Summary'!$E$10:$AR$65,40,FALSE)</f>
        <v>0</v>
      </c>
      <c r="J17" s="954">
        <f>HLOOKUP($B17,'Detailed Summary'!$E$10:$AR$126,101,FALSE)</f>
        <v>0</v>
      </c>
      <c r="K17" s="954">
        <f>HLOOKUP($B17,'Detailed Summary'!$E$10:$AR$189,162,FALSE)</f>
        <v>0</v>
      </c>
      <c r="L17" s="1080">
        <f>HLOOKUP($B17,'Detailed Summary'!$E$10:$AR$250,223,FALSE)</f>
        <v>0</v>
      </c>
      <c r="M17" s="1076">
        <f t="shared" si="1"/>
        <v>0</v>
      </c>
      <c r="N17" s="1080">
        <f>HLOOKUP($B17,'Detailed Summary'!$E$10:$AR$311,284,FALSE)</f>
        <v>0</v>
      </c>
    </row>
    <row r="18" spans="1:14" x14ac:dyDescent="0.35">
      <c r="A18" s="1075" t="s">
        <v>1695</v>
      </c>
      <c r="B18" s="1030" t="s">
        <v>1696</v>
      </c>
      <c r="C18" s="1076">
        <f>HLOOKUP($B18,'Detailed Summary'!$E$10:$AR$65,38,FALSE)</f>
        <v>-435005.0623120963</v>
      </c>
      <c r="D18" s="954">
        <f>HLOOKUP($B18,'Detailed Summary'!$E$10:$AR$126,99,FALSE)</f>
        <v>0</v>
      </c>
      <c r="E18" s="954">
        <f>HLOOKUP($B18,'Detailed Summary'!$E$10:$AR$189,160,FALSE)</f>
        <v>0</v>
      </c>
      <c r="F18" s="1080">
        <f>HLOOKUP($B18,'Detailed Summary'!$E$10:$AR$250,221,FALSE)</f>
        <v>0</v>
      </c>
      <c r="G18" s="1076">
        <f t="shared" si="0"/>
        <v>-435005.0623120963</v>
      </c>
      <c r="H18" s="1080">
        <f>HLOOKUP($B18,'Detailed Summary'!$E$10:$AR$311,282,FALSE)</f>
        <v>0</v>
      </c>
      <c r="I18" s="1076">
        <f>HLOOKUP($B18,'Detailed Summary'!$E$10:$AR$65,40,FALSE)</f>
        <v>0</v>
      </c>
      <c r="J18" s="954">
        <f>HLOOKUP($B18,'Detailed Summary'!$E$10:$AR$126,101,FALSE)</f>
        <v>0</v>
      </c>
      <c r="K18" s="954">
        <f>HLOOKUP($B18,'Detailed Summary'!$E$10:$AR$189,162,FALSE)</f>
        <v>0</v>
      </c>
      <c r="L18" s="1080">
        <f>HLOOKUP($B18,'Detailed Summary'!$E$10:$AR$250,223,FALSE)</f>
        <v>0</v>
      </c>
      <c r="M18" s="1076">
        <f t="shared" si="1"/>
        <v>0</v>
      </c>
      <c r="N18" s="1080">
        <f>HLOOKUP($B18,'Detailed Summary'!$E$10:$AR$311,284,FALSE)</f>
        <v>0</v>
      </c>
    </row>
    <row r="19" spans="1:14" x14ac:dyDescent="0.35">
      <c r="A19" s="1075" t="s">
        <v>1697</v>
      </c>
      <c r="B19" s="1030" t="s">
        <v>1698</v>
      </c>
      <c r="C19" s="1076">
        <f>HLOOKUP($B19,'Detailed Summary'!$E$10:$AR$65,38,FALSE)</f>
        <v>-778045.66996666696</v>
      </c>
      <c r="D19" s="954">
        <f>HLOOKUP($B19,'Detailed Summary'!$E$10:$AR$126,99,FALSE)</f>
        <v>0</v>
      </c>
      <c r="E19" s="954">
        <f>HLOOKUP($B19,'Detailed Summary'!$E$10:$AR$189,160,FALSE)</f>
        <v>0</v>
      </c>
      <c r="F19" s="1080">
        <f>HLOOKUP($B19,'Detailed Summary'!$E$10:$AR$250,221,FALSE)</f>
        <v>0</v>
      </c>
      <c r="G19" s="1076">
        <f t="shared" si="0"/>
        <v>-778045.66996666696</v>
      </c>
      <c r="H19" s="1080">
        <f>HLOOKUP($B19,'Detailed Summary'!$E$10:$AR$311,282,FALSE)</f>
        <v>1483149.1865527751</v>
      </c>
      <c r="I19" s="1076">
        <f>HLOOKUP($B19,'Detailed Summary'!$E$10:$AR$65,40,FALSE)</f>
        <v>0</v>
      </c>
      <c r="J19" s="954">
        <f>HLOOKUP($B19,'Detailed Summary'!$E$10:$AR$126,101,FALSE)</f>
        <v>0</v>
      </c>
      <c r="K19" s="954">
        <f>HLOOKUP($B19,'Detailed Summary'!$E$10:$AR$189,162,FALSE)</f>
        <v>0</v>
      </c>
      <c r="L19" s="1080">
        <f>HLOOKUP($B19,'Detailed Summary'!$E$10:$AR$250,223,FALSE)</f>
        <v>0</v>
      </c>
      <c r="M19" s="1076">
        <f t="shared" si="1"/>
        <v>0</v>
      </c>
      <c r="N19" s="1080">
        <f>HLOOKUP($B19,'Detailed Summary'!$E$10:$AR$311,284,FALSE)</f>
        <v>0</v>
      </c>
    </row>
    <row r="20" spans="1:14" x14ac:dyDescent="0.35">
      <c r="A20" s="1075" t="s">
        <v>1699</v>
      </c>
      <c r="B20" s="1030" t="s">
        <v>1700</v>
      </c>
      <c r="C20" s="1076">
        <f>HLOOKUP($B20,'Detailed Summary'!$E$10:$AR$65,38,FALSE)</f>
        <v>13098.494505843493</v>
      </c>
      <c r="D20" s="954">
        <f>HLOOKUP($B20,'Detailed Summary'!$E$10:$AR$126,99,FALSE)</f>
        <v>0</v>
      </c>
      <c r="E20" s="954">
        <f>HLOOKUP($B20,'Detailed Summary'!$E$10:$AR$189,160,FALSE)</f>
        <v>0</v>
      </c>
      <c r="F20" s="1080">
        <f>HLOOKUP($B20,'Detailed Summary'!$E$10:$AR$250,221,FALSE)</f>
        <v>0</v>
      </c>
      <c r="G20" s="1076">
        <f t="shared" si="0"/>
        <v>13098.494505843493</v>
      </c>
      <c r="H20" s="1080">
        <f>HLOOKUP($B20,'Detailed Summary'!$E$10:$AR$311,282,FALSE)</f>
        <v>0</v>
      </c>
      <c r="I20" s="1076">
        <f>HLOOKUP($B20,'Detailed Summary'!$E$10:$AR$65,40,FALSE)</f>
        <v>0</v>
      </c>
      <c r="J20" s="954">
        <f>HLOOKUP($B20,'Detailed Summary'!$E$10:$AR$126,101,FALSE)</f>
        <v>0</v>
      </c>
      <c r="K20" s="954">
        <f>HLOOKUP($B20,'Detailed Summary'!$E$10:$AR$189,162,FALSE)</f>
        <v>0</v>
      </c>
      <c r="L20" s="1080">
        <f>HLOOKUP($B20,'Detailed Summary'!$E$10:$AR$250,223,FALSE)</f>
        <v>0</v>
      </c>
      <c r="M20" s="1076">
        <f t="shared" si="1"/>
        <v>0</v>
      </c>
      <c r="N20" s="1080">
        <f>HLOOKUP($B20,'Detailed Summary'!$E$10:$AR$311,284,FALSE)</f>
        <v>0</v>
      </c>
    </row>
    <row r="21" spans="1:14" x14ac:dyDescent="0.35">
      <c r="A21" s="1075" t="s">
        <v>1701</v>
      </c>
      <c r="B21" s="1030" t="s">
        <v>1702</v>
      </c>
      <c r="C21" s="1076">
        <f>HLOOKUP($B21,'Detailed Summary'!$E$10:$AR$65,38,FALSE)</f>
        <v>-1117190.4516966809</v>
      </c>
      <c r="D21" s="954">
        <f>HLOOKUP($B21,'Detailed Summary'!$E$10:$AR$126,99,FALSE)</f>
        <v>0</v>
      </c>
      <c r="E21" s="954">
        <f>HLOOKUP($B21,'Detailed Summary'!$E$10:$AR$189,160,FALSE)</f>
        <v>0</v>
      </c>
      <c r="F21" s="1080">
        <f>HLOOKUP($B21,'Detailed Summary'!$E$10:$AR$250,221,FALSE)</f>
        <v>0</v>
      </c>
      <c r="G21" s="1076">
        <f t="shared" si="0"/>
        <v>-1117190.4516966809</v>
      </c>
      <c r="H21" s="1080">
        <f>HLOOKUP($B21,'Detailed Summary'!$E$10:$AR$311,282,FALSE)</f>
        <v>0</v>
      </c>
      <c r="I21" s="1076">
        <f>HLOOKUP($B21,'Detailed Summary'!$E$10:$AR$65,40,FALSE)</f>
        <v>0</v>
      </c>
      <c r="J21" s="954">
        <f>HLOOKUP($B21,'Detailed Summary'!$E$10:$AR$126,101,FALSE)</f>
        <v>0</v>
      </c>
      <c r="K21" s="954">
        <f>HLOOKUP($B21,'Detailed Summary'!$E$10:$AR$189,162,FALSE)</f>
        <v>0</v>
      </c>
      <c r="L21" s="1080">
        <f>HLOOKUP($B21,'Detailed Summary'!$E$10:$AR$250,223,FALSE)</f>
        <v>0</v>
      </c>
      <c r="M21" s="1076">
        <f t="shared" si="1"/>
        <v>0</v>
      </c>
      <c r="N21" s="1080">
        <f>HLOOKUP($B21,'Detailed Summary'!$E$10:$AR$311,284,FALSE)</f>
        <v>0</v>
      </c>
    </row>
    <row r="22" spans="1:14" x14ac:dyDescent="0.35">
      <c r="A22" s="1075" t="s">
        <v>1703</v>
      </c>
      <c r="B22" s="1030" t="s">
        <v>1704</v>
      </c>
      <c r="C22" s="1076">
        <f>HLOOKUP($B22,'Detailed Summary'!$E$10:$AR$65,38,FALSE)</f>
        <v>-2924834.9278341117</v>
      </c>
      <c r="D22" s="954">
        <f>HLOOKUP($B22,'Detailed Summary'!$E$10:$AR$126,99,FALSE)</f>
        <v>0</v>
      </c>
      <c r="E22" s="954">
        <f>HLOOKUP($B22,'Detailed Summary'!$E$10:$AR$189,160,FALSE)</f>
        <v>0</v>
      </c>
      <c r="F22" s="1080">
        <f>HLOOKUP($B22,'Detailed Summary'!$E$10:$AR$250,221,FALSE)</f>
        <v>0</v>
      </c>
      <c r="G22" s="1076">
        <f t="shared" si="0"/>
        <v>-2924834.9278341117</v>
      </c>
      <c r="H22" s="1080">
        <f>HLOOKUP($B22,'Detailed Summary'!$E$10:$AR$311,282,FALSE)</f>
        <v>0</v>
      </c>
      <c r="I22" s="1076">
        <f>HLOOKUP($B22,'Detailed Summary'!$E$10:$AR$65,40,FALSE)</f>
        <v>0</v>
      </c>
      <c r="J22" s="954">
        <f>HLOOKUP($B22,'Detailed Summary'!$E$10:$AR$126,101,FALSE)</f>
        <v>0</v>
      </c>
      <c r="K22" s="954">
        <f>HLOOKUP($B22,'Detailed Summary'!$E$10:$AR$189,162,FALSE)</f>
        <v>0</v>
      </c>
      <c r="L22" s="1080">
        <f>HLOOKUP($B22,'Detailed Summary'!$E$10:$AR$250,223,FALSE)</f>
        <v>0</v>
      </c>
      <c r="M22" s="1076">
        <f t="shared" si="1"/>
        <v>0</v>
      </c>
      <c r="N22" s="1080">
        <f>HLOOKUP($B22,'Detailed Summary'!$E$10:$AR$311,284,FALSE)</f>
        <v>0</v>
      </c>
    </row>
    <row r="23" spans="1:14" x14ac:dyDescent="0.35">
      <c r="A23" s="1075" t="s">
        <v>1705</v>
      </c>
      <c r="B23" s="1030" t="s">
        <v>1706</v>
      </c>
      <c r="C23" s="1076">
        <f>HLOOKUP($B23,'Detailed Summary'!$E$10:$AR$65,38,FALSE)</f>
        <v>0</v>
      </c>
      <c r="D23" s="954">
        <f>HLOOKUP($B23,'Detailed Summary'!$E$10:$AR$126,99,FALSE)</f>
        <v>0</v>
      </c>
      <c r="E23" s="954">
        <f>HLOOKUP($B23,'Detailed Summary'!$E$10:$AR$189,160,FALSE)</f>
        <v>0</v>
      </c>
      <c r="F23" s="1080">
        <f>HLOOKUP($B23,'Detailed Summary'!$E$10:$AR$250,221,FALSE)</f>
        <v>0</v>
      </c>
      <c r="G23" s="1076">
        <f t="shared" si="0"/>
        <v>0</v>
      </c>
      <c r="H23" s="1080">
        <f>HLOOKUP($B23,'Detailed Summary'!$E$10:$AR$311,282,FALSE)</f>
        <v>0</v>
      </c>
      <c r="I23" s="1076">
        <f>HLOOKUP($B23,'Detailed Summary'!$E$10:$AR$65,40,FALSE)</f>
        <v>50455434.08198075</v>
      </c>
      <c r="J23" s="954">
        <f>HLOOKUP($B23,'Detailed Summary'!$E$10:$AR$126,101,FALSE)</f>
        <v>0</v>
      </c>
      <c r="K23" s="954">
        <f>HLOOKUP($B23,'Detailed Summary'!$E$10:$AR$189,162,FALSE)</f>
        <v>0</v>
      </c>
      <c r="L23" s="1080">
        <f>HLOOKUP($B23,'Detailed Summary'!$E$10:$AR$250,223,FALSE)</f>
        <v>0</v>
      </c>
      <c r="M23" s="1076">
        <f t="shared" si="1"/>
        <v>50455434.08198075</v>
      </c>
      <c r="N23" s="1080">
        <f>HLOOKUP($B23,'Detailed Summary'!$E$10:$AR$311,284,FALSE)</f>
        <v>0</v>
      </c>
    </row>
    <row r="24" spans="1:14" x14ac:dyDescent="0.35">
      <c r="A24" s="1075" t="s">
        <v>1707</v>
      </c>
      <c r="B24" s="1030" t="s">
        <v>1079</v>
      </c>
      <c r="C24" s="1076">
        <f>HLOOKUP($B24,'Detailed Summary'!$E$10:$AR$65,38,FALSE)</f>
        <v>-6824350.6486586146</v>
      </c>
      <c r="D24" s="954">
        <f>HLOOKUP($B24,'Detailed Summary'!$E$10:$AR$126,99,FALSE)</f>
        <v>0</v>
      </c>
      <c r="E24" s="954">
        <f>HLOOKUP($B24,'Detailed Summary'!$E$10:$AR$189,160,FALSE)</f>
        <v>0</v>
      </c>
      <c r="F24" s="1080">
        <f>HLOOKUP($B24,'Detailed Summary'!$E$10:$AR$250,221,FALSE)</f>
        <v>0</v>
      </c>
      <c r="G24" s="1076">
        <f t="shared" si="0"/>
        <v>-6824350.6486586146</v>
      </c>
      <c r="H24" s="1080">
        <f>HLOOKUP($B24,'Detailed Summary'!$E$10:$AR$311,282,FALSE)</f>
        <v>0</v>
      </c>
      <c r="I24" s="1076">
        <f>HLOOKUP($B24,'Detailed Summary'!$E$10:$AR$65,40,FALSE)</f>
        <v>-6824350.6486586146</v>
      </c>
      <c r="J24" s="954">
        <f>HLOOKUP($B24,'Detailed Summary'!$E$10:$AR$126,101,FALSE)</f>
        <v>0</v>
      </c>
      <c r="K24" s="954">
        <f>HLOOKUP($B24,'Detailed Summary'!$E$10:$AR$189,162,FALSE)</f>
        <v>0</v>
      </c>
      <c r="L24" s="1080">
        <f>HLOOKUP($B24,'Detailed Summary'!$E$10:$AR$250,223,FALSE)</f>
        <v>0</v>
      </c>
      <c r="M24" s="1076">
        <f t="shared" si="1"/>
        <v>-6824350.6486586146</v>
      </c>
      <c r="N24" s="1080">
        <f>HLOOKUP($B24,'Detailed Summary'!$E$10:$AR$311,284,FALSE)</f>
        <v>0</v>
      </c>
    </row>
    <row r="25" spans="1:14" x14ac:dyDescent="0.35">
      <c r="A25" s="1075" t="s">
        <v>1708</v>
      </c>
      <c r="B25" t="s">
        <v>1532</v>
      </c>
      <c r="C25" s="1076">
        <f>HLOOKUP($B25,'Detailed Summary'!$E$10:$AR$65,38,FALSE)</f>
        <v>14420.256752399737</v>
      </c>
      <c r="D25" s="954">
        <f>HLOOKUP($B25,'Detailed Summary'!$E$10:$AR$126,99,FALSE)</f>
        <v>0</v>
      </c>
      <c r="E25" s="954">
        <f>HLOOKUP($B25,'Detailed Summary'!$E$10:$AR$189,160,FALSE)</f>
        <v>0</v>
      </c>
      <c r="F25" s="1080">
        <f>HLOOKUP($B25,'Detailed Summary'!$E$10:$AR$250,221,FALSE)</f>
        <v>0</v>
      </c>
      <c r="G25" s="1076">
        <f t="shared" si="0"/>
        <v>14420.256752399737</v>
      </c>
      <c r="H25" s="1080">
        <f>HLOOKUP($B25,'Detailed Summary'!$E$10:$AR$311,282,FALSE)</f>
        <v>0</v>
      </c>
      <c r="I25" s="1076">
        <f>HLOOKUP($B25,'Detailed Summary'!$E$10:$AR$65,40,FALSE)</f>
        <v>0</v>
      </c>
      <c r="J25" s="954">
        <f>HLOOKUP($B25,'Detailed Summary'!$E$10:$AR$126,101,FALSE)</f>
        <v>0</v>
      </c>
      <c r="K25" s="954">
        <f>HLOOKUP($B25,'Detailed Summary'!$E$10:$AR$189,162,FALSE)</f>
        <v>0</v>
      </c>
      <c r="L25" s="1080">
        <f>HLOOKUP($B25,'Detailed Summary'!$E$10:$AR$250,223,FALSE)</f>
        <v>0</v>
      </c>
      <c r="M25" s="1076">
        <f t="shared" si="1"/>
        <v>0</v>
      </c>
      <c r="N25" s="1080">
        <f>HLOOKUP($B25,'Detailed Summary'!$E$10:$AR$311,284,FALSE)</f>
        <v>0</v>
      </c>
    </row>
    <row r="26" spans="1:14" x14ac:dyDescent="0.35">
      <c r="A26" s="1075" t="s">
        <v>1709</v>
      </c>
      <c r="B26" s="1030" t="s">
        <v>1710</v>
      </c>
      <c r="C26" s="1076">
        <f>HLOOKUP($B26,'Detailed Summary'!$E$10:$AR$65,38,FALSE)</f>
        <v>0</v>
      </c>
      <c r="D26" s="954">
        <f>HLOOKUP($B26,'Detailed Summary'!$E$10:$AR$126,99,FALSE)</f>
        <v>0</v>
      </c>
      <c r="E26" s="954">
        <f>HLOOKUP($B26,'Detailed Summary'!$E$10:$AR$189,160,FALSE)</f>
        <v>0</v>
      </c>
      <c r="F26" s="1080">
        <f>HLOOKUP($B26,'Detailed Summary'!$E$10:$AR$250,221,FALSE)</f>
        <v>-3301998.5104280058</v>
      </c>
      <c r="G26" s="1076">
        <f t="shared" si="0"/>
        <v>-3301998.5104280058</v>
      </c>
      <c r="H26" s="1080">
        <f>HLOOKUP($B26,'Detailed Summary'!$E$10:$AR$311,282,FALSE)</f>
        <v>-6093010.4359589107</v>
      </c>
      <c r="I26" s="1076">
        <f>HLOOKUP($B26,'Detailed Summary'!$E$10:$AR$65,40,FALSE)</f>
        <v>0</v>
      </c>
      <c r="J26" s="954">
        <f>HLOOKUP($B26,'Detailed Summary'!$E$10:$AR$126,101,FALSE)</f>
        <v>0</v>
      </c>
      <c r="K26" s="954">
        <f>HLOOKUP($B26,'Detailed Summary'!$E$10:$AR$189,162,FALSE)</f>
        <v>0</v>
      </c>
      <c r="L26" s="1080">
        <f>HLOOKUP($B26,'Detailed Summary'!$E$10:$AR$250,223,FALSE)</f>
        <v>0</v>
      </c>
      <c r="M26" s="1076">
        <f t="shared" si="1"/>
        <v>0</v>
      </c>
      <c r="N26" s="1080">
        <f>HLOOKUP($B26,'Detailed Summary'!$E$10:$AR$311,284,FALSE)</f>
        <v>0</v>
      </c>
    </row>
    <row r="27" spans="1:14" x14ac:dyDescent="0.35">
      <c r="A27" s="1075" t="s">
        <v>1711</v>
      </c>
      <c r="B27" s="1030" t="s">
        <v>1428</v>
      </c>
      <c r="C27" s="1076">
        <f>HLOOKUP($B27,'Detailed Summary'!$E$10:$AR$65,38,FALSE)</f>
        <v>0</v>
      </c>
      <c r="D27" s="954">
        <f>HLOOKUP($B27,'Detailed Summary'!$E$10:$AR$126,99,FALSE)</f>
        <v>2295831.8296000003</v>
      </c>
      <c r="E27" s="954">
        <f>HLOOKUP($B27,'Detailed Summary'!$E$10:$AR$189,160,FALSE)</f>
        <v>0</v>
      </c>
      <c r="F27" s="1080">
        <f>HLOOKUP($B27,'Detailed Summary'!$E$10:$AR$250,221,FALSE)</f>
        <v>0</v>
      </c>
      <c r="G27" s="1076">
        <f t="shared" si="0"/>
        <v>2295831.8296000003</v>
      </c>
      <c r="H27" s="1080">
        <f>HLOOKUP($B27,'Detailed Summary'!$E$10:$AR$311,282,FALSE)</f>
        <v>0</v>
      </c>
      <c r="I27" s="1076">
        <f>HLOOKUP($B27,'Detailed Summary'!$E$10:$AR$65,40,FALSE)</f>
        <v>0</v>
      </c>
      <c r="J27" s="954">
        <f>HLOOKUP($B27,'Detailed Summary'!$E$10:$AR$126,101,FALSE)</f>
        <v>-28019480.875479184</v>
      </c>
      <c r="K27" s="954">
        <f>HLOOKUP($B27,'Detailed Summary'!$E$10:$AR$189,162,FALSE)</f>
        <v>0</v>
      </c>
      <c r="L27" s="1080">
        <f>HLOOKUP($B27,'Detailed Summary'!$E$10:$AR$250,223,FALSE)</f>
        <v>0</v>
      </c>
      <c r="M27" s="1076">
        <f t="shared" si="1"/>
        <v>-28019480.875479184</v>
      </c>
      <c r="N27" s="1080">
        <f>HLOOKUP($B27,'Detailed Summary'!$E$10:$AR$311,284,FALSE)</f>
        <v>0</v>
      </c>
    </row>
    <row r="28" spans="1:14" x14ac:dyDescent="0.35">
      <c r="A28" s="1075" t="s">
        <v>1712</v>
      </c>
      <c r="B28" s="1030" t="s">
        <v>1713</v>
      </c>
      <c r="C28" s="1076">
        <f>HLOOKUP($B28,'Detailed Summary'!$E$10:$AR$65,38,FALSE)</f>
        <v>-2899321.94739606</v>
      </c>
      <c r="D28" s="954">
        <f>HLOOKUP($B28,'Detailed Summary'!$E$10:$AR$126,99,FALSE)</f>
        <v>0</v>
      </c>
      <c r="E28" s="954">
        <f>HLOOKUP($B28,'Detailed Summary'!$E$10:$AR$189,160,FALSE)</f>
        <v>0</v>
      </c>
      <c r="F28" s="1080">
        <f>HLOOKUP($B28,'Detailed Summary'!$E$10:$AR$250,221,FALSE)</f>
        <v>-3727575.3505524765</v>
      </c>
      <c r="G28" s="1076">
        <f t="shared" si="0"/>
        <v>-6626897.2979485365</v>
      </c>
      <c r="H28" s="1080">
        <f>HLOOKUP($B28,'Detailed Summary'!$E$10:$AR$311,282,FALSE)</f>
        <v>0</v>
      </c>
      <c r="I28" s="1076">
        <f>HLOOKUP($B28,'Detailed Summary'!$E$10:$AR$65,40,FALSE)</f>
        <v>-57834387.276298791</v>
      </c>
      <c r="J28" s="954">
        <f>HLOOKUP($B28,'Detailed Summary'!$E$10:$AR$126,101,FALSE)</f>
        <v>57834387.276298791</v>
      </c>
      <c r="K28" s="954">
        <f>HLOOKUP($B28,'Detailed Summary'!$E$10:$AR$189,162,FALSE)</f>
        <v>0</v>
      </c>
      <c r="L28" s="1080">
        <f>HLOOKUP($B28,'Detailed Summary'!$E$10:$AR$250,223,FALSE)</f>
        <v>0</v>
      </c>
      <c r="M28" s="1076">
        <f t="shared" si="1"/>
        <v>0</v>
      </c>
      <c r="N28" s="1080">
        <f>HLOOKUP($B28,'Detailed Summary'!$E$10:$AR$311,284,FALSE)</f>
        <v>0</v>
      </c>
    </row>
    <row r="29" spans="1:14" x14ac:dyDescent="0.35">
      <c r="A29" s="1075" t="s">
        <v>1714</v>
      </c>
      <c r="B29" s="1030" t="s">
        <v>1716</v>
      </c>
      <c r="C29" s="1076">
        <f>HLOOKUP($B29,'Detailed Summary'!$E$10:$AR$65,38,FALSE)</f>
        <v>-267705.11489864736</v>
      </c>
      <c r="D29" s="954">
        <f>HLOOKUP($B29,'Detailed Summary'!$E$10:$AR$126,99,FALSE)</f>
        <v>8365.7662636469395</v>
      </c>
      <c r="E29" s="954">
        <f>HLOOKUP($B29,'Detailed Summary'!$E$10:$AR$189,160,FALSE)</f>
        <v>-8365.7772850000765</v>
      </c>
      <c r="F29" s="1080">
        <f>HLOOKUP($B29,'Detailed Summary'!$E$10:$AR$250,221,FALSE)</f>
        <v>1366472.8491678936</v>
      </c>
      <c r="G29" s="1076">
        <f t="shared" si="0"/>
        <v>1098767.7232478932</v>
      </c>
      <c r="H29" s="1080">
        <f>HLOOKUP($B29,'Detailed Summary'!$E$10:$AR$311,282,FALSE)</f>
        <v>1413394.9515225352</v>
      </c>
      <c r="I29" s="1076">
        <f>HLOOKUP($B29,'Detailed Summary'!$E$10:$AR$65,40,FALSE)</f>
        <v>0</v>
      </c>
      <c r="J29" s="954">
        <f>HLOOKUP($B29,'Detailed Summary'!$E$10:$AR$126,101,FALSE)</f>
        <v>0</v>
      </c>
      <c r="K29" s="954">
        <f>HLOOKUP($B29,'Detailed Summary'!$E$10:$AR$189,162,FALSE)</f>
        <v>0</v>
      </c>
      <c r="L29" s="1080">
        <f>HLOOKUP($B29,'Detailed Summary'!$E$10:$AR$250,223,FALSE)</f>
        <v>0</v>
      </c>
      <c r="M29" s="1076">
        <f t="shared" si="1"/>
        <v>0</v>
      </c>
      <c r="N29" s="1080">
        <f>HLOOKUP($B29,'Detailed Summary'!$E$10:$AR$311,284,FALSE)</f>
        <v>0</v>
      </c>
    </row>
    <row r="30" spans="1:14" x14ac:dyDescent="0.35">
      <c r="A30" s="1075" t="s">
        <v>1715</v>
      </c>
      <c r="B30" s="1030" t="s">
        <v>1719</v>
      </c>
      <c r="C30" s="1076">
        <f>HLOOKUP($B30,'Detailed Summary'!$E$10:$AR$65,38,FALSE)</f>
        <v>0</v>
      </c>
      <c r="D30" s="954">
        <f>HLOOKUP($B30,'Detailed Summary'!$E$10:$AR$126,99,FALSE)</f>
        <v>0</v>
      </c>
      <c r="E30" s="954">
        <f>HLOOKUP($B30,'Detailed Summary'!$E$10:$AR$189,160,FALSE)</f>
        <v>0</v>
      </c>
      <c r="F30" s="1080">
        <f>HLOOKUP($B30,'Detailed Summary'!$E$10:$AR$250,221,FALSE)</f>
        <v>0</v>
      </c>
      <c r="G30" s="1076">
        <f t="shared" si="0"/>
        <v>0</v>
      </c>
      <c r="H30" s="1080">
        <f>HLOOKUP($B30,'Detailed Summary'!$E$10:$AR$311,282,FALSE)</f>
        <v>0</v>
      </c>
      <c r="I30" s="1076">
        <f>HLOOKUP($B30,'Detailed Summary'!$E$10:$AR$65,40,FALSE)</f>
        <v>0</v>
      </c>
      <c r="J30" s="954">
        <f>HLOOKUP($B30,'Detailed Summary'!$E$10:$AR$126,101,FALSE)</f>
        <v>0</v>
      </c>
      <c r="K30" s="954">
        <f>HLOOKUP($B30,'Detailed Summary'!$E$10:$AR$189,162,FALSE)</f>
        <v>0</v>
      </c>
      <c r="L30" s="1080">
        <f>HLOOKUP($B30,'Detailed Summary'!$E$10:$AR$250,223,FALSE)</f>
        <v>0</v>
      </c>
      <c r="M30" s="1076">
        <f t="shared" si="1"/>
        <v>0</v>
      </c>
      <c r="N30" s="1080">
        <f>HLOOKUP($B30,'Detailed Summary'!$E$10:$AR$311,284,FALSE)</f>
        <v>0</v>
      </c>
    </row>
    <row r="31" spans="1:14" x14ac:dyDescent="0.35">
      <c r="A31" s="1075" t="s">
        <v>1717</v>
      </c>
      <c r="B31" s="1030" t="s">
        <v>1721</v>
      </c>
      <c r="C31" s="1076">
        <f>HLOOKUP($B31,'Detailed Summary'!$E$10:$AR$65,38,FALSE)</f>
        <v>0</v>
      </c>
      <c r="D31" s="954">
        <f>HLOOKUP($B31,'Detailed Summary'!$E$10:$AR$126,99,FALSE)</f>
        <v>-298420.97900107928</v>
      </c>
      <c r="E31" s="954">
        <f>HLOOKUP($B31,'Detailed Summary'!$E$10:$AR$189,160,FALSE)</f>
        <v>1555027.3769056804</v>
      </c>
      <c r="F31" s="1080">
        <f>HLOOKUP($B31,'Detailed Summary'!$E$10:$AR$250,221,FALSE)</f>
        <v>-53244588.094624028</v>
      </c>
      <c r="G31" s="1076">
        <f t="shared" si="0"/>
        <v>-51987981.696719423</v>
      </c>
      <c r="H31" s="1080">
        <f>HLOOKUP($B31,'Detailed Summary'!$E$10:$AR$311,282,FALSE)</f>
        <v>7125267.925121028</v>
      </c>
      <c r="I31" s="1076">
        <f>HLOOKUP($B31,'Detailed Summary'!$E$10:$AR$65,40,FALSE)</f>
        <v>0</v>
      </c>
      <c r="J31" s="954">
        <f>HLOOKUP($B31,'Detailed Summary'!$E$10:$AR$126,101,FALSE)</f>
        <v>-81821842.066694736</v>
      </c>
      <c r="K31" s="954">
        <f>HLOOKUP($B31,'Detailed Summary'!$E$10:$AR$189,162,FALSE)</f>
        <v>-172911836.65312946</v>
      </c>
      <c r="L31" s="1080">
        <f>HLOOKUP($B31,'Detailed Summary'!$E$10:$AR$250,223,FALSE)</f>
        <v>-110651507.27837408</v>
      </c>
      <c r="M31" s="1076">
        <f t="shared" si="1"/>
        <v>-365385185.99819827</v>
      </c>
      <c r="N31" s="1080">
        <f>HLOOKUP($B31,'Detailed Summary'!$E$10:$AR$311,284,FALSE)</f>
        <v>-212142643.35983646</v>
      </c>
    </row>
    <row r="32" spans="1:14" x14ac:dyDescent="0.35">
      <c r="A32" s="1075" t="s">
        <v>1718</v>
      </c>
      <c r="B32" s="1030" t="s">
        <v>1723</v>
      </c>
      <c r="C32" s="1076">
        <f>HLOOKUP($B32,'Detailed Summary'!$E$10:$AR$65,38,FALSE)</f>
        <v>0</v>
      </c>
      <c r="D32" s="954">
        <f>HLOOKUP($B32,'Detailed Summary'!$E$10:$AR$126,99,FALSE)</f>
        <v>33679.343200000003</v>
      </c>
      <c r="E32" s="954">
        <f>HLOOKUP($B32,'Detailed Summary'!$E$10:$AR$189,160,FALSE)</f>
        <v>201172.12539999996</v>
      </c>
      <c r="F32" s="1080">
        <f>HLOOKUP($B32,'Detailed Summary'!$E$10:$AR$250,221,FALSE)</f>
        <v>497104.17410000088</v>
      </c>
      <c r="G32" s="1076">
        <f t="shared" si="0"/>
        <v>731955.6427000009</v>
      </c>
      <c r="H32" s="1080">
        <f>HLOOKUP($B32,'Detailed Summary'!$E$10:$AR$311,282,FALSE)</f>
        <v>497104.17410000088</v>
      </c>
      <c r="I32" s="1076">
        <f>HLOOKUP($B32,'Detailed Summary'!$E$10:$AR$65,40,FALSE)</f>
        <v>0</v>
      </c>
      <c r="J32" s="954">
        <f>HLOOKUP($B32,'Detailed Summary'!$E$10:$AR$126,101,FALSE)</f>
        <v>42632.08</v>
      </c>
      <c r="K32" s="954">
        <f>HLOOKUP($B32,'Detailed Summary'!$E$10:$AR$189,162,FALSE)</f>
        <v>297280.34000000003</v>
      </c>
      <c r="L32" s="1080">
        <f>HLOOKUP($B32,'Detailed Summary'!$E$10:$AR$250,223,FALSE)</f>
        <v>424163.73</v>
      </c>
      <c r="M32" s="1076">
        <f t="shared" si="1"/>
        <v>764076.15</v>
      </c>
      <c r="N32" s="1080">
        <f>HLOOKUP($B32,'Detailed Summary'!$E$10:$AR$311,284,FALSE)</f>
        <v>1154341.1600000001</v>
      </c>
    </row>
    <row r="33" spans="1:14" x14ac:dyDescent="0.35">
      <c r="A33" s="1075" t="s">
        <v>1720</v>
      </c>
      <c r="B33" s="1030" t="s">
        <v>1725</v>
      </c>
      <c r="C33" s="1076">
        <f>HLOOKUP($B33,'Detailed Summary'!$E$10:$AR$65,38,FALSE)</f>
        <v>0</v>
      </c>
      <c r="D33" s="954">
        <f>HLOOKUP($B33,'Detailed Summary'!$E$10:$AR$126,99,FALSE)</f>
        <v>-482904.13487989997</v>
      </c>
      <c r="E33" s="954">
        <f>HLOOKUP($B33,'Detailed Summary'!$E$10:$AR$189,160,FALSE)</f>
        <v>-5523856.8748024488</v>
      </c>
      <c r="F33" s="1080">
        <f>HLOOKUP($B33,'Detailed Summary'!$E$10:$AR$250,221,FALSE)</f>
        <v>-8419002.0806574002</v>
      </c>
      <c r="G33" s="1076">
        <f t="shared" si="0"/>
        <v>-14425763.09033975</v>
      </c>
      <c r="H33" s="1080">
        <f>HLOOKUP($B33,'Detailed Summary'!$E$10:$AR$311,282,FALSE)</f>
        <v>-8356860.595495401</v>
      </c>
      <c r="I33" s="1076">
        <f>HLOOKUP($B33,'Detailed Summary'!$E$10:$AR$65,40,FALSE)</f>
        <v>0</v>
      </c>
      <c r="J33" s="954">
        <f>HLOOKUP($B33,'Detailed Summary'!$E$10:$AR$126,101,FALSE)</f>
        <v>63796583.976750001</v>
      </c>
      <c r="K33" s="954">
        <f>HLOOKUP($B33,'Detailed Summary'!$E$10:$AR$189,162,FALSE)</f>
        <v>126477500.64549002</v>
      </c>
      <c r="L33" s="1080">
        <f>HLOOKUP($B33,'Detailed Summary'!$E$10:$AR$250,223,FALSE)</f>
        <v>52167450.423619971</v>
      </c>
      <c r="M33" s="1076">
        <f t="shared" si="1"/>
        <v>242441535.04585999</v>
      </c>
      <c r="N33" s="1080">
        <f>HLOOKUP($B33,'Detailed Summary'!$E$10:$AR$311,284,FALSE)</f>
        <v>122407421.21765506</v>
      </c>
    </row>
    <row r="34" spans="1:14" x14ac:dyDescent="0.35">
      <c r="A34" s="1075" t="s">
        <v>1722</v>
      </c>
      <c r="B34" s="1030" t="s">
        <v>1727</v>
      </c>
      <c r="C34" s="1076">
        <f>HLOOKUP($B34,'Detailed Summary'!$E$10:$AR$65,38,FALSE)</f>
        <v>0</v>
      </c>
      <c r="D34" s="954">
        <f>HLOOKUP($B34,'Detailed Summary'!$E$10:$AR$126,99,FALSE)</f>
        <v>-318963.84299999994</v>
      </c>
      <c r="E34" s="954">
        <f>HLOOKUP($B34,'Detailed Summary'!$E$10:$AR$189,160,FALSE)</f>
        <v>-2203239.8638000004</v>
      </c>
      <c r="F34" s="1080">
        <f>HLOOKUP($B34,'Detailed Summary'!$E$10:$AR$250,221,FALSE)</f>
        <v>-3675849.0017999993</v>
      </c>
      <c r="G34" s="1076">
        <f t="shared" si="0"/>
        <v>-6198052.7085999995</v>
      </c>
      <c r="H34" s="1080">
        <f>HLOOKUP($B34,'Detailed Summary'!$E$10:$AR$311,282,FALSE)</f>
        <v>-1812642.6048999983</v>
      </c>
      <c r="I34" s="1076">
        <f>HLOOKUP($B34,'Detailed Summary'!$E$10:$AR$65,40,FALSE)</f>
        <v>0</v>
      </c>
      <c r="J34" s="954">
        <f>HLOOKUP($B34,'Detailed Summary'!$E$10:$AR$126,101,FALSE)</f>
        <v>52899028.379999995</v>
      </c>
      <c r="K34" s="954">
        <f>HLOOKUP($B34,'Detailed Summary'!$E$10:$AR$189,162,FALSE)</f>
        <v>85035899.859999985</v>
      </c>
      <c r="L34" s="1080">
        <f>HLOOKUP($B34,'Detailed Summary'!$E$10:$AR$250,223,FALSE)</f>
        <v>24244937.780000035</v>
      </c>
      <c r="M34" s="1076">
        <f t="shared" si="1"/>
        <v>162179866.02000001</v>
      </c>
      <c r="N34" s="1080">
        <f>HLOOKUP($B34,'Detailed Summary'!$E$10:$AR$311,284,FALSE)</f>
        <v>43611657.550000012</v>
      </c>
    </row>
    <row r="35" spans="1:14" x14ac:dyDescent="0.35">
      <c r="A35" s="1075" t="s">
        <v>1724</v>
      </c>
      <c r="B35" s="1030" t="s">
        <v>1729</v>
      </c>
      <c r="C35" s="1076">
        <f>HLOOKUP($B35,'Detailed Summary'!$E$10:$AR$65,38,FALSE)</f>
        <v>0</v>
      </c>
      <c r="D35" s="954">
        <f>HLOOKUP($B35,'Detailed Summary'!$E$10:$AR$126,99,FALSE)</f>
        <v>-488.0462</v>
      </c>
      <c r="E35" s="954">
        <f>HLOOKUP($B35,'Detailed Summary'!$E$10:$AR$189,160,FALSE)</f>
        <v>-12006.538499999999</v>
      </c>
      <c r="F35" s="1080">
        <f>HLOOKUP($B35,'Detailed Summary'!$E$10:$AR$250,221,FALSE)</f>
        <v>-355434.6433</v>
      </c>
      <c r="G35" s="1076">
        <f t="shared" si="0"/>
        <v>-367929.228</v>
      </c>
      <c r="H35" s="1080">
        <f>HLOOKUP($B35,'Detailed Summary'!$E$10:$AR$311,282,FALSE)</f>
        <v>-192576.32291440002</v>
      </c>
      <c r="I35" s="1076">
        <f>HLOOKUP($B35,'Detailed Summary'!$E$10:$AR$65,40,FALSE)</f>
        <v>0</v>
      </c>
      <c r="J35" s="954">
        <f>HLOOKUP($B35,'Detailed Summary'!$E$10:$AR$126,101,FALSE)</f>
        <v>57980.340000000004</v>
      </c>
      <c r="K35" s="954">
        <f>HLOOKUP($B35,'Detailed Summary'!$E$10:$AR$189,162,FALSE)</f>
        <v>13028953.590000002</v>
      </c>
      <c r="L35" s="1080">
        <f>HLOOKUP($B35,'Detailed Summary'!$E$10:$AR$250,223,FALSE)</f>
        <v>-280261.93000000005</v>
      </c>
      <c r="M35" s="1076">
        <f t="shared" si="1"/>
        <v>12806672.000000002</v>
      </c>
      <c r="N35" s="1080">
        <f>HLOOKUP($B35,'Detailed Summary'!$E$10:$AR$311,284,FALSE)</f>
        <v>1774798.5898300002</v>
      </c>
    </row>
    <row r="36" spans="1:14" x14ac:dyDescent="0.35">
      <c r="A36" s="1075" t="s">
        <v>1726</v>
      </c>
      <c r="B36" s="1030" t="s">
        <v>1731</v>
      </c>
      <c r="C36" s="1076">
        <f>HLOOKUP($B36,'Detailed Summary'!$E$10:$AR$65,38,FALSE)</f>
        <v>0</v>
      </c>
      <c r="D36" s="954">
        <f>HLOOKUP($B36,'Detailed Summary'!$E$10:$AR$126,99,FALSE)</f>
        <v>-300603.53971829993</v>
      </c>
      <c r="E36" s="954">
        <f>HLOOKUP($B36,'Detailed Summary'!$E$10:$AR$189,160,FALSE)</f>
        <v>-4818440.9902843507</v>
      </c>
      <c r="F36" s="1080">
        <f>HLOOKUP($B36,'Detailed Summary'!$E$10:$AR$250,221,FALSE)</f>
        <v>-7251841.4363879003</v>
      </c>
      <c r="G36" s="1076">
        <f>SUM(C36:F36)</f>
        <v>-12370885.96639055</v>
      </c>
      <c r="H36" s="1080">
        <f>HLOOKUP($B36,'Detailed Summary'!$E$10:$AR$311,282,FALSE)</f>
        <v>-6593048.6901741503</v>
      </c>
      <c r="I36" s="1076">
        <f>HLOOKUP($B36,'Detailed Summary'!$E$10:$AR$65,40,FALSE)</f>
        <v>0</v>
      </c>
      <c r="J36" s="954">
        <f>HLOOKUP($B36,'Detailed Summary'!$E$10:$AR$126,101,FALSE)</f>
        <v>46959913.410709992</v>
      </c>
      <c r="K36" s="954">
        <f>HLOOKUP($B36,'Detailed Summary'!$E$10:$AR$189,162,FALSE)</f>
        <v>54132411.425150014</v>
      </c>
      <c r="L36" s="1080">
        <f>HLOOKUP($B36,'Detailed Summary'!$E$10:$AR$250,223,FALSE)</f>
        <v>4403069.303989986</v>
      </c>
      <c r="M36" s="1076">
        <f t="shared" si="1"/>
        <v>105495394.13985001</v>
      </c>
      <c r="N36" s="1080">
        <f>HLOOKUP($B36,'Detailed Summary'!$E$10:$AR$311,284,FALSE)</f>
        <v>44104526.972805083</v>
      </c>
    </row>
    <row r="37" spans="1:14" x14ac:dyDescent="0.35">
      <c r="A37" s="1075" t="s">
        <v>1728</v>
      </c>
      <c r="B37" s="1030" t="s">
        <v>1740</v>
      </c>
      <c r="C37" s="1076">
        <f>HLOOKUP($B37,'Detailed Summary'!$E$10:$AR$65,38,FALSE)</f>
        <v>-1702914.1352699972</v>
      </c>
      <c r="D37" s="954">
        <f>HLOOKUP($B37,'Detailed Summary'!$E$10:$AR$126,99,FALSE)</f>
        <v>0</v>
      </c>
      <c r="E37" s="954">
        <f>HLOOKUP($B37,'Detailed Summary'!$E$10:$AR$189,160,FALSE)</f>
        <v>0</v>
      </c>
      <c r="F37" s="1080">
        <f>HLOOKUP($B37,'Detailed Summary'!$E$10:$AR$250,221,FALSE)</f>
        <v>0</v>
      </c>
      <c r="G37" s="1076">
        <f t="shared" si="0"/>
        <v>-1702914.1352699972</v>
      </c>
      <c r="H37" s="1080">
        <f>HLOOKUP($B37,'Detailed Summary'!$E$10:$AR$311,282,FALSE)</f>
        <v>0</v>
      </c>
      <c r="I37" s="1076">
        <f>HLOOKUP($B37,'Detailed Summary'!$E$10:$AR$65,40,FALSE)</f>
        <v>0</v>
      </c>
      <c r="J37" s="954">
        <f>HLOOKUP($B37,'Detailed Summary'!$E$10:$AR$126,101,FALSE)</f>
        <v>0</v>
      </c>
      <c r="K37" s="954">
        <f>HLOOKUP($B37,'Detailed Summary'!$E$10:$AR$189,162,FALSE)</f>
        <v>0</v>
      </c>
      <c r="L37" s="1080">
        <f>HLOOKUP($B37,'Detailed Summary'!$E$10:$AR$250,223,FALSE)</f>
        <v>0</v>
      </c>
      <c r="M37" s="1076">
        <f t="shared" si="1"/>
        <v>0</v>
      </c>
      <c r="N37" s="1080">
        <f>HLOOKUP($B37,'Detailed Summary'!$E$10:$AR$311,284,FALSE)</f>
        <v>0</v>
      </c>
    </row>
    <row r="38" spans="1:14" x14ac:dyDescent="0.35">
      <c r="A38" s="1075" t="s">
        <v>1730</v>
      </c>
      <c r="B38" s="1030" t="s">
        <v>1741</v>
      </c>
      <c r="C38" s="1076">
        <f>HLOOKUP($B38,'Detailed Summary'!$E$10:$AR$65,38,FALSE)</f>
        <v>-1275792.7171000002</v>
      </c>
      <c r="D38" s="954">
        <f>HLOOKUP($B38,'Detailed Summary'!$E$10:$AR$126,99,FALSE)</f>
        <v>0</v>
      </c>
      <c r="E38" s="954">
        <f>HLOOKUP($B38,'Detailed Summary'!$E$10:$AR$189,160,FALSE)</f>
        <v>0</v>
      </c>
      <c r="F38" s="1080">
        <f>HLOOKUP($B38,'Detailed Summary'!$E$10:$AR$250,221,FALSE)</f>
        <v>-1898572.9427632273</v>
      </c>
      <c r="G38" s="1076">
        <f t="shared" si="0"/>
        <v>-3174365.6598632275</v>
      </c>
      <c r="H38" s="1080">
        <f>HLOOKUP($B38,'Detailed Summary'!$E$10:$AR$311,282,FALSE)</f>
        <v>0</v>
      </c>
      <c r="I38" s="1076">
        <f>HLOOKUP($B38,'Detailed Summary'!$E$10:$AR$65,40,FALSE)</f>
        <v>0</v>
      </c>
      <c r="J38" s="954">
        <f>HLOOKUP($B38,'Detailed Summary'!$E$10:$AR$126,101,FALSE)</f>
        <v>0</v>
      </c>
      <c r="K38" s="954">
        <f>HLOOKUP($B38,'Detailed Summary'!$E$10:$AR$189,162,FALSE)</f>
        <v>0</v>
      </c>
      <c r="L38" s="1080">
        <f>HLOOKUP($B38,'Detailed Summary'!$E$10:$AR$250,223,FALSE)</f>
        <v>0</v>
      </c>
      <c r="M38" s="1076">
        <f t="shared" si="1"/>
        <v>0</v>
      </c>
      <c r="N38" s="1080">
        <f>HLOOKUP($B38,'Detailed Summary'!$E$10:$AR$311,284,FALSE)</f>
        <v>0</v>
      </c>
    </row>
    <row r="39" spans="1:14" x14ac:dyDescent="0.35">
      <c r="A39" s="1075" t="s">
        <v>1742</v>
      </c>
      <c r="B39" s="1030" t="s">
        <v>1860</v>
      </c>
      <c r="C39" s="1076">
        <f>HLOOKUP($B39,'Detailed Summary'!$E$10:$AR$65,38,FALSE)</f>
        <v>69091.03</v>
      </c>
      <c r="D39" s="954">
        <f>HLOOKUP($B39,'Detailed Summary'!$E$10:$AR$126,99,FALSE)</f>
        <v>0</v>
      </c>
      <c r="E39" s="954">
        <f>HLOOKUP($B39,'Detailed Summary'!$E$10:$AR$189,160,FALSE)</f>
        <v>0</v>
      </c>
      <c r="F39" s="1080">
        <f>HLOOKUP($B39,'Detailed Summary'!$E$10:$AR$250,221,FALSE)</f>
        <v>-48980</v>
      </c>
      <c r="G39" s="1076">
        <f t="shared" si="0"/>
        <v>20111.03</v>
      </c>
      <c r="H39" s="1080">
        <f>HLOOKUP($B39,'Detailed Summary'!$E$10:$AR$311,282,FALSE)</f>
        <v>0</v>
      </c>
      <c r="I39" s="1076">
        <f>HLOOKUP($B39,'Detailed Summary'!$E$10:$AR$65,40,FALSE)</f>
        <v>0</v>
      </c>
      <c r="J39" s="954">
        <f>HLOOKUP($B39,'Detailed Summary'!$E$10:$AR$126,101,FALSE)</f>
        <v>0</v>
      </c>
      <c r="K39" s="954">
        <f>HLOOKUP($B39,'Detailed Summary'!$E$10:$AR$189,162,FALSE)</f>
        <v>0</v>
      </c>
      <c r="L39" s="1080">
        <f>HLOOKUP($B39,'Detailed Summary'!$E$10:$AR$250,223,FALSE)</f>
        <v>0</v>
      </c>
      <c r="M39" s="1076">
        <f t="shared" si="1"/>
        <v>0</v>
      </c>
      <c r="N39" s="1080">
        <f>HLOOKUP($B39,'Detailed Summary'!$E$10:$AR$311,284,FALSE)</f>
        <v>0</v>
      </c>
    </row>
    <row r="40" spans="1:14" x14ac:dyDescent="0.35">
      <c r="A40" s="1075" t="s">
        <v>1743</v>
      </c>
      <c r="B40" s="1030" t="s">
        <v>1884</v>
      </c>
      <c r="C40" s="1076">
        <f>HLOOKUP($B40,'Detailed Summary'!$E$10:$AR$65,38,FALSE)</f>
        <v>0</v>
      </c>
      <c r="D40" s="954">
        <f>HLOOKUP($B40,'Detailed Summary'!$E$10:$AR$126,99,FALSE)</f>
        <v>0</v>
      </c>
      <c r="E40" s="954">
        <f>HLOOKUP($B40,'Detailed Summary'!$E$10:$AR$189,160,FALSE)</f>
        <v>0</v>
      </c>
      <c r="F40" s="1080">
        <f>HLOOKUP($B40,'Detailed Summary'!$E$10:$AR$250,221,FALSE)</f>
        <v>0</v>
      </c>
      <c r="G40" s="1076">
        <f t="shared" si="0"/>
        <v>0</v>
      </c>
      <c r="H40" s="1080">
        <f>HLOOKUP($B40,'Detailed Summary'!$E$10:$AR$311,282,FALSE)</f>
        <v>0</v>
      </c>
      <c r="I40" s="1076">
        <f>HLOOKUP($B40,'Detailed Summary'!$E$10:$AR$65,40,FALSE)</f>
        <v>0</v>
      </c>
      <c r="J40" s="954">
        <f>HLOOKUP($B40,'Detailed Summary'!$E$10:$AR$126,101,FALSE)</f>
        <v>0</v>
      </c>
      <c r="K40" s="954">
        <f>HLOOKUP($B40,'Detailed Summary'!$E$10:$AR$189,162,FALSE)</f>
        <v>0</v>
      </c>
      <c r="L40" s="1080">
        <f>HLOOKUP($B40,'Detailed Summary'!$E$10:$AR$250,223,FALSE)</f>
        <v>0</v>
      </c>
      <c r="M40" s="1076">
        <f t="shared" si="1"/>
        <v>0</v>
      </c>
      <c r="N40" s="1080">
        <f>HLOOKUP($B40,'Detailed Summary'!$E$10:$AR$311,284,FALSE)</f>
        <v>0</v>
      </c>
    </row>
    <row r="41" spans="1:14" x14ac:dyDescent="0.35">
      <c r="A41" s="1075" t="s">
        <v>1744</v>
      </c>
      <c r="B41" s="1030" t="s">
        <v>1530</v>
      </c>
      <c r="C41" s="1076">
        <f>HLOOKUP($B41,'Detailed Summary'!$E$10:$AR$65,38,FALSE)</f>
        <v>0</v>
      </c>
      <c r="D41" s="954">
        <f>HLOOKUP($B41,'Detailed Summary'!$E$10:$AR$126,99,FALSE)</f>
        <v>0</v>
      </c>
      <c r="E41" s="954">
        <f>HLOOKUP($B41,'Detailed Summary'!$E$10:$AR$189,160,FALSE)</f>
        <v>0</v>
      </c>
      <c r="F41" s="1080">
        <f>HLOOKUP($B41,'Detailed Summary'!$E$10:$AR$250,221,FALSE)</f>
        <v>-318969.52152150846</v>
      </c>
      <c r="G41" s="1076">
        <f t="shared" si="0"/>
        <v>-318969.52152150846</v>
      </c>
      <c r="H41" s="1080">
        <f>HLOOKUP($B41,'Detailed Summary'!$E$10:$AR$311,282,FALSE)</f>
        <v>-11163.933253252708</v>
      </c>
      <c r="I41" s="1076">
        <f>HLOOKUP($B41,'Detailed Summary'!$E$10:$AR$65,40,FALSE)</f>
        <v>0</v>
      </c>
      <c r="J41" s="954">
        <f>HLOOKUP($B41,'Detailed Summary'!$E$10:$AR$126,101,FALSE)</f>
        <v>0</v>
      </c>
      <c r="K41" s="954">
        <f>HLOOKUP($B41,'Detailed Summary'!$E$10:$AR$189,162,FALSE)</f>
        <v>0</v>
      </c>
      <c r="L41" s="1080">
        <f>HLOOKUP($B41,'Detailed Summary'!$E$10:$AR$250,223,FALSE)</f>
        <v>0</v>
      </c>
      <c r="M41" s="1076">
        <f t="shared" si="1"/>
        <v>0</v>
      </c>
      <c r="N41" s="1080">
        <f>HLOOKUP($B41,'Detailed Summary'!$E$10:$AR$311,284,FALSE)</f>
        <v>0</v>
      </c>
    </row>
    <row r="42" spans="1:14" x14ac:dyDescent="0.35">
      <c r="A42" s="1075">
        <v>11.38</v>
      </c>
      <c r="B42" s="1030" t="s">
        <v>1746</v>
      </c>
      <c r="C42" s="1076">
        <f>HLOOKUP($B42,'Detailed Summary'!$E$10:$AR$65,38,FALSE)</f>
        <v>0</v>
      </c>
      <c r="D42" s="954">
        <f>HLOOKUP($B42,'Detailed Summary'!$E$10:$AR$126,99,FALSE)</f>
        <v>-15145433.462216999</v>
      </c>
      <c r="E42" s="954">
        <f>HLOOKUP($B42,'Detailed Summary'!$E$10:$AR$189,160,FALSE)</f>
        <v>0</v>
      </c>
      <c r="F42" s="1080">
        <f>HLOOKUP($B42,'Detailed Summary'!$E$10:$AR$250,221,FALSE)</f>
        <v>0</v>
      </c>
      <c r="G42" s="1076">
        <f t="shared" si="0"/>
        <v>-15145433.462216999</v>
      </c>
      <c r="H42" s="1080">
        <f>HLOOKUP($B42,'Detailed Summary'!$E$10:$AR$311,282,FALSE)</f>
        <v>0</v>
      </c>
      <c r="I42" s="1076">
        <f>HLOOKUP($B42,'Detailed Summary'!$E$10:$AR$65,40,FALSE)</f>
        <v>0</v>
      </c>
      <c r="J42" s="954">
        <f>HLOOKUP($B42,'Detailed Summary'!$E$10:$AR$126,101,FALSE)</f>
        <v>-244980865.4539476</v>
      </c>
      <c r="K42" s="954">
        <f>HLOOKUP($B42,'Detailed Summary'!$E$10:$AR$189,162,FALSE)</f>
        <v>0</v>
      </c>
      <c r="L42" s="1080">
        <f>HLOOKUP($B42,'Detailed Summary'!$E$10:$AR$250,223,FALSE)</f>
        <v>0</v>
      </c>
      <c r="M42" s="1076">
        <f t="shared" si="1"/>
        <v>-244980865.4539476</v>
      </c>
      <c r="N42" s="1080">
        <f>HLOOKUP($B42,'Detailed Summary'!$E$10:$AR$311,284,FALSE)</f>
        <v>0</v>
      </c>
    </row>
    <row r="43" spans="1:14" x14ac:dyDescent="0.35">
      <c r="A43" s="1075">
        <v>11.39</v>
      </c>
      <c r="B43" s="1030" t="s">
        <v>1745</v>
      </c>
      <c r="C43" s="1076">
        <f>HLOOKUP($B43,'Detailed Summary'!$E$10:$AR$65,38,FALSE)</f>
        <v>0</v>
      </c>
      <c r="D43" s="954">
        <f>HLOOKUP($B43,'Detailed Summary'!$E$10:$AR$126,99,FALSE)</f>
        <v>-2374790.7095624562</v>
      </c>
      <c r="E43" s="954">
        <f>HLOOKUP($B43,'Detailed Summary'!$E$10:$AR$189,160,FALSE)</f>
        <v>1994565.5414671653</v>
      </c>
      <c r="F43" s="1080">
        <f>HLOOKUP($B43,'Detailed Summary'!$E$10:$AR$250,221,FALSE)</f>
        <v>-10199.104871913682</v>
      </c>
      <c r="G43" s="1076">
        <f t="shared" si="0"/>
        <v>-390424.27296720457</v>
      </c>
      <c r="H43" s="1080">
        <f>HLOOKUP($B43,'Detailed Summary'!$E$10:$AR$311,282,FALSE)</f>
        <v>4573331.9478821624</v>
      </c>
      <c r="I43" s="1076">
        <f>HLOOKUP($B43,'Detailed Summary'!$E$10:$AR$65,40,FALSE)</f>
        <v>0</v>
      </c>
      <c r="J43" s="954">
        <f>HLOOKUP($B43,'Detailed Summary'!$E$10:$AR$126,101,FALSE)</f>
        <v>24719599.411719467</v>
      </c>
      <c r="K43" s="954">
        <f>HLOOKUP($B43,'Detailed Summary'!$E$10:$AR$189,162,FALSE)</f>
        <v>-8672507.3526021261</v>
      </c>
      <c r="L43" s="1080">
        <f>HLOOKUP($B43,'Detailed Summary'!$E$10:$AR$250,223,FALSE)</f>
        <v>-5170723.4230643986</v>
      </c>
      <c r="M43" s="1076">
        <f t="shared" si="1"/>
        <v>10876368.636052944</v>
      </c>
      <c r="N43" s="1080">
        <f>HLOOKUP($B43,'Detailed Summary'!$E$10:$AR$311,284,FALSE)</f>
        <v>-5437988.3141693044</v>
      </c>
    </row>
    <row r="44" spans="1:14" x14ac:dyDescent="0.35">
      <c r="A44" s="1075">
        <v>11.4</v>
      </c>
      <c r="B44" s="1030" t="s">
        <v>1792</v>
      </c>
      <c r="C44" s="1076">
        <f>HLOOKUP($B44,'Detailed Summary'!$E$10:$AR$65,38,FALSE)</f>
        <v>662617.10414054128</v>
      </c>
      <c r="D44" s="954">
        <f>HLOOKUP($B44,'Detailed Summary'!$E$10:$AR$126,99,FALSE)</f>
        <v>330440.00281978119</v>
      </c>
      <c r="E44" s="954">
        <f>HLOOKUP($B44,'Detailed Summary'!$E$10:$AR$189,160,FALSE)</f>
        <v>660880.00563955808</v>
      </c>
      <c r="F44" s="1091">
        <f>HLOOKUP($B44,'Detailed Summary'!$E$10:$AR$250,221,FALSE)</f>
        <v>522095.20445525099</v>
      </c>
      <c r="G44" s="1076">
        <f t="shared" si="0"/>
        <v>2176032.3170551313</v>
      </c>
      <c r="H44" s="1080">
        <f>HLOOKUP($B44,'Detailed Summary'!$E$10:$AR$311,282,FALSE)</f>
        <v>684799.57034431375</v>
      </c>
      <c r="I44" s="1076">
        <f>HLOOKUP($B44,'Detailed Summary'!$E$10:$AR$65,40,FALSE)</f>
        <v>-24218047.431628965</v>
      </c>
      <c r="J44" s="954">
        <f>HLOOKUP($B44,'Detailed Summary'!$E$10:$AR$126,101,FALSE)</f>
        <v>488404.91943644884</v>
      </c>
      <c r="K44" s="954">
        <f>HLOOKUP($B44,'Detailed Summary'!$E$10:$AR$189,162,FALSE)</f>
        <v>953145.69718474289</v>
      </c>
      <c r="L44" s="1080">
        <f>HLOOKUP($B44,'Detailed Summary'!$E$10:$AR$250,223,FALSE)</f>
        <v>576639.62190245662</v>
      </c>
      <c r="M44" s="1076">
        <f t="shared" si="1"/>
        <v>-22199857.193105318</v>
      </c>
      <c r="N44" s="1080">
        <f>HLOOKUP($B44,'Detailed Summary'!$E$10:$AR$311,284,FALSE)</f>
        <v>1152189.4358550543</v>
      </c>
    </row>
    <row r="45" spans="1:14" ht="15" thickBot="1" x14ac:dyDescent="0.4">
      <c r="A45" s="1084"/>
      <c r="B45" s="1092" t="s">
        <v>1732</v>
      </c>
      <c r="C45" s="1083">
        <f>SUM(C4:C44)</f>
        <v>213546110.51518175</v>
      </c>
      <c r="D45" s="826">
        <f>SUM(D4:D44)</f>
        <v>134725962.22028765</v>
      </c>
      <c r="E45" s="826">
        <f t="shared" ref="E45:N45" si="2">SUM(E4:E44)</f>
        <v>126837249.57794683</v>
      </c>
      <c r="F45" s="1088">
        <f t="shared" si="2"/>
        <v>48749561.749018438</v>
      </c>
      <c r="G45" s="1083">
        <f t="shared" si="2"/>
        <v>48749561.749018423</v>
      </c>
      <c r="H45" s="1088">
        <f t="shared" si="2"/>
        <v>41384031.61126563</v>
      </c>
      <c r="I45" s="1083">
        <f t="shared" si="2"/>
        <v>2910473035.7707133</v>
      </c>
      <c r="J45" s="826">
        <f t="shared" si="2"/>
        <v>2802449377.1695065</v>
      </c>
      <c r="K45" s="826">
        <f t="shared" si="2"/>
        <v>2900790224.7216001</v>
      </c>
      <c r="L45" s="1088">
        <f t="shared" si="2"/>
        <v>2866503992.9496741</v>
      </c>
      <c r="M45" s="1083">
        <f t="shared" si="2"/>
        <v>2866503992.9496746</v>
      </c>
      <c r="N45" s="1088">
        <f t="shared" si="2"/>
        <v>2863128296.2018137</v>
      </c>
    </row>
    <row r="46" spans="1:14" ht="15" thickTop="1" x14ac:dyDescent="0.35"/>
    <row r="49" spans="2:14" x14ac:dyDescent="0.35">
      <c r="B49" s="1077" t="s">
        <v>1733</v>
      </c>
      <c r="C49" s="1073">
        <f>'Detailed Summary'!BC47-C45</f>
        <v>0</v>
      </c>
      <c r="D49" s="1073">
        <f>'Detailed Summary'!BC108-'SEF-NOI-RB p1 Gas wp'!D45</f>
        <v>2.6822090148925781E-7</v>
      </c>
      <c r="E49" s="1073">
        <f>'Detailed Summary'!BC169-'SEF-NOI-RB p1 Gas wp'!E45</f>
        <v>2.5331974029541016E-7</v>
      </c>
      <c r="F49" s="1073">
        <f>'Detailed Summary'!BC230-'SEF-NOI-RB p1 Gas wp'!F45</f>
        <v>-3852324.9999997094</v>
      </c>
      <c r="G49" s="1073">
        <f>'Detailed Summary'!BC230-'SEF-NOI-RB p1 Gas wp'!G45</f>
        <v>-3852324.9999996945</v>
      </c>
      <c r="H49" s="1073">
        <f>'Detailed Summary'!BC291-'SEF-NOI-RB p1 Gas wp'!H45</f>
        <v>-7704649.9999996126</v>
      </c>
      <c r="I49" s="1073">
        <f>'Detailed Summary'!BC49-'SEF-NOI-RB p1 Gas wp'!I45</f>
        <v>0</v>
      </c>
      <c r="J49" s="1073">
        <f>'Detailed Summary'!BC110-'SEF-NOI-RB p1 Gas wp'!J45</f>
        <v>0</v>
      </c>
      <c r="K49" s="1073">
        <f>'Detailed Summary'!BC171-'SEF-NOI-RB p1 Gas wp'!K45</f>
        <v>0</v>
      </c>
      <c r="L49" s="1073">
        <f>'Detailed Summary'!BC232-'SEF-NOI-RB p1 Gas wp'!L45</f>
        <v>0</v>
      </c>
      <c r="M49" s="1073">
        <f>'Detailed Summary'!BC232-'SEF-NOI-RB p1 Gas wp'!M45</f>
        <v>0</v>
      </c>
      <c r="N49" s="1073">
        <f>'Detailed Summary'!BC293-'SEF-NOI-RB p1 Gas wp'!N45</f>
        <v>0</v>
      </c>
    </row>
    <row r="50" spans="2:14" x14ac:dyDescent="0.35">
      <c r="B50" s="1077"/>
      <c r="C50" s="1073"/>
      <c r="D50" s="1073"/>
      <c r="E50" s="1073"/>
      <c r="F50" s="1073"/>
      <c r="G50" s="1073"/>
      <c r="H50" s="1073"/>
      <c r="I50" s="1073"/>
      <c r="J50" s="1073"/>
      <c r="K50" s="1073"/>
      <c r="L50" s="1073"/>
      <c r="M50" s="1073"/>
      <c r="N50" s="1073"/>
    </row>
  </sheetData>
  <printOptions horizontalCentered="1"/>
  <pageMargins left="0.2" right="0.2" top="0.5" bottom="0.5" header="0.3" footer="0.3"/>
  <pageSetup scale="57" orientation="landscape" horizontalDpi="4294967293"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M54"/>
  <sheetViews>
    <sheetView workbookViewId="0">
      <pane xSplit="2" ySplit="3" topLeftCell="C24" activePane="bottomRight" state="frozen"/>
      <selection activeCell="B159" sqref="B159"/>
      <selection pane="topRight" activeCell="B159" sqref="B159"/>
      <selection pane="bottomLeft" activeCell="B159" sqref="B159"/>
      <selection pane="bottomRight" activeCell="H5" sqref="H5:H45"/>
    </sheetView>
  </sheetViews>
  <sheetFormatPr defaultColWidth="9.1796875" defaultRowHeight="14.5" outlineLevelCol="1" x14ac:dyDescent="0.35"/>
  <cols>
    <col min="1" max="1" width="8.26953125" customWidth="1"/>
    <col min="2" max="2" width="48.81640625" bestFit="1" customWidth="1"/>
    <col min="3" max="3" width="13.7265625" customWidth="1" outlineLevel="1"/>
    <col min="4" max="5" width="13.453125" customWidth="1" outlineLevel="1"/>
    <col min="6" max="6" width="13.7265625" customWidth="1" outlineLevel="1" collapsed="1"/>
    <col min="7" max="8" width="13.7265625" bestFit="1" customWidth="1"/>
    <col min="9" max="9" width="14.453125" style="995" bestFit="1" customWidth="1"/>
    <col min="10" max="10" width="13.453125" bestFit="1" customWidth="1"/>
    <col min="11" max="11" width="20.453125" customWidth="1"/>
    <col min="13" max="13" width="20.453125" customWidth="1"/>
  </cols>
  <sheetData>
    <row r="1" spans="1:11" x14ac:dyDescent="0.35">
      <c r="A1" s="140" t="s">
        <v>1734</v>
      </c>
    </row>
    <row r="2" spans="1:11" x14ac:dyDescent="0.35">
      <c r="A2" s="1089"/>
      <c r="B2" s="1022"/>
      <c r="C2" s="1021"/>
      <c r="D2" s="738"/>
      <c r="E2" s="738"/>
      <c r="F2" s="1022"/>
      <c r="G2" s="1078" t="s">
        <v>1019</v>
      </c>
      <c r="H2" s="1085"/>
    </row>
    <row r="3" spans="1:11" ht="29" x14ac:dyDescent="0.35">
      <c r="A3" s="1268" t="s">
        <v>1887</v>
      </c>
      <c r="B3" s="1269" t="s">
        <v>1888</v>
      </c>
      <c r="C3" s="1268" t="s">
        <v>1889</v>
      </c>
      <c r="D3" s="1270" t="s">
        <v>1890</v>
      </c>
      <c r="E3" s="1270" t="s">
        <v>1891</v>
      </c>
      <c r="F3" s="1269" t="s">
        <v>1892</v>
      </c>
      <c r="G3" s="1268" t="s">
        <v>1893</v>
      </c>
      <c r="H3" s="1269" t="s">
        <v>1894</v>
      </c>
    </row>
    <row r="4" spans="1:11" x14ac:dyDescent="0.35">
      <c r="A4" s="1029"/>
      <c r="B4" s="1030" t="s">
        <v>325</v>
      </c>
      <c r="C4" s="1079">
        <f>'Detailed Summary'!D65</f>
        <v>46261066.750187926</v>
      </c>
      <c r="D4" s="242">
        <f>C46</f>
        <v>784848.69877414405</v>
      </c>
      <c r="E4" s="242">
        <f>D46</f>
        <v>94753406.139855549</v>
      </c>
      <c r="F4" s="1086">
        <f>E46</f>
        <v>114806283.11358322</v>
      </c>
      <c r="G4" s="1079">
        <f>C4</f>
        <v>46261066.750187926</v>
      </c>
      <c r="H4" s="1086"/>
    </row>
    <row r="5" spans="1:11" x14ac:dyDescent="0.35">
      <c r="A5" s="1075" t="s">
        <v>1672</v>
      </c>
      <c r="B5" s="1030" t="s">
        <v>1673</v>
      </c>
      <c r="C5" s="1076">
        <f>HLOOKUP($B5,'Detailed Summary'!$E$10:$AR$65,56,FALSE)</f>
        <v>-42764598.153237559</v>
      </c>
      <c r="D5" s="954">
        <f>HLOOKUP($B5,'Detailed Summary'!$E$10:$AR$126,117,FALSE)</f>
        <v>58370822.895894624</v>
      </c>
      <c r="E5" s="954">
        <f>HLOOKUP($B5,'Detailed Summary'!$E$10:$AR$189,178,FALSE)</f>
        <v>-202018.99999999997</v>
      </c>
      <c r="F5" s="1080">
        <f>HLOOKUP($B5,'Detailed Summary'!$E$10:$AR$250,239,FALSE)</f>
        <v>3604265.9999999995</v>
      </c>
      <c r="G5" s="1076">
        <f>SUM(C5:F5)</f>
        <v>19008471.742657065</v>
      </c>
      <c r="H5" s="1080">
        <f>HLOOKUP($B5,'Detailed Summary'!$E$10:$AR$311,300,FALSE)</f>
        <v>486743.00000000006</v>
      </c>
    </row>
    <row r="6" spans="1:11" x14ac:dyDescent="0.35">
      <c r="A6" s="1075" t="s">
        <v>1674</v>
      </c>
      <c r="B6" s="1030" t="s">
        <v>1675</v>
      </c>
      <c r="C6" s="1076">
        <f>HLOOKUP($B6,'Detailed Summary'!$E$10:$AR$65,56,FALSE)</f>
        <v>-2763691.8054755479</v>
      </c>
      <c r="D6" s="954">
        <f>HLOOKUP($B6,'Detailed Summary'!$E$10:$AR$126,117,FALSE)</f>
        <v>0</v>
      </c>
      <c r="E6" s="954">
        <f>HLOOKUP($B6,'Detailed Summary'!$E$10:$AR$189,178,FALSE)</f>
        <v>0</v>
      </c>
      <c r="F6" s="1080">
        <f>HLOOKUP($B6,'Detailed Summary'!$E$10:$AR$250,239,FALSE)</f>
        <v>0</v>
      </c>
      <c r="G6" s="1076">
        <f t="shared" ref="G6:G44" si="0">SUM(C6:F6)</f>
        <v>-2763691.8054755479</v>
      </c>
      <c r="H6" s="1080">
        <f>HLOOKUP($B6,'Detailed Summary'!$E$10:$AR$311,300,FALSE)</f>
        <v>0</v>
      </c>
      <c r="J6" s="242"/>
      <c r="K6" s="122"/>
    </row>
    <row r="7" spans="1:11" x14ac:dyDescent="0.35">
      <c r="A7" s="1075" t="s">
        <v>1676</v>
      </c>
      <c r="B7" s="1030" t="s">
        <v>1677</v>
      </c>
      <c r="C7" s="1076">
        <f>HLOOKUP($B7,'Detailed Summary'!$E$10:$AR$65,56,FALSE)</f>
        <v>90596.170162767157</v>
      </c>
      <c r="D7" s="954">
        <f>HLOOKUP($B7,'Detailed Summary'!$E$10:$AR$126,117,FALSE)</f>
        <v>23455855.920842834</v>
      </c>
      <c r="E7" s="954">
        <f>HLOOKUP($B7,'Detailed Summary'!$E$10:$AR$189,178,FALSE)</f>
        <v>0</v>
      </c>
      <c r="F7" s="1080">
        <f>HLOOKUP($B7,'Detailed Summary'!$E$10:$AR$250,239,FALSE)</f>
        <v>0</v>
      </c>
      <c r="G7" s="1076">
        <f t="shared" si="0"/>
        <v>23546452.091005601</v>
      </c>
      <c r="H7" s="1080">
        <f>HLOOKUP($B7,'Detailed Summary'!$E$10:$AR$311,300,FALSE)</f>
        <v>0</v>
      </c>
      <c r="J7" s="242"/>
      <c r="K7" s="122"/>
    </row>
    <row r="8" spans="1:11" x14ac:dyDescent="0.35">
      <c r="A8" s="1075" t="s">
        <v>1678</v>
      </c>
      <c r="B8" s="1030" t="s">
        <v>1679</v>
      </c>
      <c r="C8" s="1076">
        <f>HLOOKUP($B8,'Detailed Summary'!$E$10:$AR$65,56,FALSE)</f>
        <v>3170989.8600619426</v>
      </c>
      <c r="D8" s="954">
        <f>HLOOKUP($B8,'Detailed Summary'!$E$10:$AR$126,117,FALSE)</f>
        <v>-176481.64597861908</v>
      </c>
      <c r="E8" s="954">
        <f>HLOOKUP($B8,'Detailed Summary'!$E$10:$AR$189,178,FALSE)</f>
        <v>462488.38470453559</v>
      </c>
      <c r="F8" s="1080">
        <f>HLOOKUP($B8,'Detailed Summary'!$E$10:$AR$250,239,FALSE)</f>
        <v>-5282705.8183091106</v>
      </c>
      <c r="G8" s="1076">
        <f t="shared" si="0"/>
        <v>-1825709.2195212515</v>
      </c>
      <c r="H8" s="1080">
        <f>HLOOKUP($B8,'Detailed Summary'!$E$10:$AR$311,300,FALSE)</f>
        <v>-244756.58282200919</v>
      </c>
      <c r="J8" s="242"/>
      <c r="K8" s="122"/>
    </row>
    <row r="9" spans="1:11" x14ac:dyDescent="0.35">
      <c r="A9" s="1075" t="s">
        <v>1680</v>
      </c>
      <c r="B9" s="1030" t="s">
        <v>1681</v>
      </c>
      <c r="C9" s="1076">
        <f>HLOOKUP($B9,'Detailed Summary'!$E$10:$AR$65,56,FALSE)</f>
        <v>-21313001.203322735</v>
      </c>
      <c r="D9" s="954">
        <f>HLOOKUP($B9,'Detailed Summary'!$E$10:$AR$126,117,FALSE)</f>
        <v>791042.67157217569</v>
      </c>
      <c r="E9" s="954">
        <f>HLOOKUP($B9,'Detailed Summary'!$E$10:$AR$189,178,FALSE)</f>
        <v>-720136.75318538561</v>
      </c>
      <c r="F9" s="1080">
        <f>HLOOKUP($B9,'Detailed Summary'!$E$10:$AR$250,239,FALSE)</f>
        <v>-706691.80741644022</v>
      </c>
      <c r="G9" s="1076">
        <f t="shared" si="0"/>
        <v>-21948787.092352383</v>
      </c>
      <c r="H9" s="1080">
        <f>HLOOKUP($B9,'Detailed Summary'!$E$10:$AR$311,300,FALSE)</f>
        <v>-133591.88945507671</v>
      </c>
      <c r="J9" s="242"/>
      <c r="K9" s="122"/>
    </row>
    <row r="10" spans="1:11" x14ac:dyDescent="0.35">
      <c r="A10" s="1075" t="s">
        <v>1682</v>
      </c>
      <c r="B10" s="1030" t="s">
        <v>1638</v>
      </c>
      <c r="C10" s="1076">
        <f>HLOOKUP($B10,'Detailed Summary'!$E$10:$AR$65,56,FALSE)</f>
        <v>-282468.17642923386</v>
      </c>
      <c r="D10" s="954">
        <f>HLOOKUP($B10,'Detailed Summary'!$E$10:$AR$126,117,FALSE)</f>
        <v>0</v>
      </c>
      <c r="E10" s="954">
        <f>HLOOKUP($B10,'Detailed Summary'!$E$10:$AR$189,178,FALSE)</f>
        <v>0</v>
      </c>
      <c r="F10" s="1080">
        <f>HLOOKUP($B10,'Detailed Summary'!$E$10:$AR$250,239,FALSE)</f>
        <v>0</v>
      </c>
      <c r="G10" s="1076">
        <f t="shared" si="0"/>
        <v>-282468.17642923386</v>
      </c>
      <c r="H10" s="1080">
        <f>HLOOKUP($B10,'Detailed Summary'!$E$10:$AR$311,300,FALSE)</f>
        <v>0</v>
      </c>
      <c r="J10" s="242"/>
      <c r="K10" s="122"/>
    </row>
    <row r="11" spans="1:11" x14ac:dyDescent="0.35">
      <c r="A11" s="1075" t="s">
        <v>1683</v>
      </c>
      <c r="B11" s="1030" t="s">
        <v>1684</v>
      </c>
      <c r="C11" s="1076">
        <f>HLOOKUP($B11,'Detailed Summary'!$E$10:$AR$65,56,FALSE)</f>
        <v>243185.30578192096</v>
      </c>
      <c r="D11" s="954">
        <f>HLOOKUP($B11,'Detailed Summary'!$E$10:$AR$126,117,FALSE)</f>
        <v>0</v>
      </c>
      <c r="E11" s="954">
        <f>HLOOKUP($B11,'Detailed Summary'!$E$10:$AR$189,178,FALSE)</f>
        <v>0</v>
      </c>
      <c r="F11" s="1080">
        <f>HLOOKUP($B11,'Detailed Summary'!$E$10:$AR$250,239,FALSE)</f>
        <v>0</v>
      </c>
      <c r="G11" s="1076">
        <f t="shared" si="0"/>
        <v>243185.30578192096</v>
      </c>
      <c r="H11" s="1080">
        <f>HLOOKUP($B11,'Detailed Summary'!$E$10:$AR$311,300,FALSE)</f>
        <v>0</v>
      </c>
      <c r="J11" s="242"/>
      <c r="K11" s="122"/>
    </row>
    <row r="12" spans="1:11" x14ac:dyDescent="0.35">
      <c r="A12" s="1075" t="s">
        <v>1685</v>
      </c>
      <c r="B12" s="1030" t="s">
        <v>1686</v>
      </c>
      <c r="C12" s="1076">
        <f>HLOOKUP($B12,'Detailed Summary'!$E$10:$AR$65,56,FALSE)</f>
        <v>899.49605111440485</v>
      </c>
      <c r="D12" s="954">
        <f>HLOOKUP($B12,'Detailed Summary'!$E$10:$AR$126,117,FALSE)</f>
        <v>0</v>
      </c>
      <c r="E12" s="954">
        <f>HLOOKUP($B12,'Detailed Summary'!$E$10:$AR$189,178,FALSE)</f>
        <v>0</v>
      </c>
      <c r="F12" s="1080">
        <f>HLOOKUP($B12,'Detailed Summary'!$E$10:$AR$250,239,FALSE)</f>
        <v>0</v>
      </c>
      <c r="G12" s="1076">
        <f t="shared" si="0"/>
        <v>899.49605111440485</v>
      </c>
      <c r="H12" s="1080">
        <f>HLOOKUP($B12,'Detailed Summary'!$E$10:$AR$311,300,FALSE)</f>
        <v>0</v>
      </c>
      <c r="J12" s="242"/>
      <c r="K12" s="122"/>
    </row>
    <row r="13" spans="1:11" x14ac:dyDescent="0.35">
      <c r="A13" s="1075" t="s">
        <v>1687</v>
      </c>
      <c r="B13" s="1030" t="s">
        <v>1078</v>
      </c>
      <c r="C13" s="1076">
        <f>HLOOKUP($B13,'Detailed Summary'!$E$10:$AR$65,56,FALSE)</f>
        <v>-18109.53816059012</v>
      </c>
      <c r="D13" s="954">
        <f>HLOOKUP($B13,'Detailed Summary'!$E$10:$AR$126,117,FALSE)</f>
        <v>269927.26293153479</v>
      </c>
      <c r="E13" s="954">
        <f>HLOOKUP($B13,'Detailed Summary'!$E$10:$AR$189,178,FALSE)</f>
        <v>0</v>
      </c>
      <c r="F13" s="1080">
        <f>HLOOKUP($B13,'Detailed Summary'!$E$10:$AR$250,239,FALSE)</f>
        <v>0</v>
      </c>
      <c r="G13" s="1076">
        <f t="shared" si="0"/>
        <v>251817.72477094468</v>
      </c>
      <c r="H13" s="1080">
        <f>HLOOKUP($B13,'Detailed Summary'!$E$10:$AR$311,300,FALSE)</f>
        <v>0</v>
      </c>
      <c r="J13" s="242"/>
      <c r="K13" s="122"/>
    </row>
    <row r="14" spans="1:11" x14ac:dyDescent="0.35">
      <c r="A14" s="1075" t="s">
        <v>1688</v>
      </c>
      <c r="B14" s="1030" t="s">
        <v>1689</v>
      </c>
      <c r="C14" s="1076">
        <f>HLOOKUP($B14,'Detailed Summary'!$E$10:$AR$65,56,FALSE)</f>
        <v>-25183.408850171345</v>
      </c>
      <c r="D14" s="954">
        <f>HLOOKUP($B14,'Detailed Summary'!$E$10:$AR$126,117,FALSE)</f>
        <v>0</v>
      </c>
      <c r="E14" s="954">
        <f>HLOOKUP($B14,'Detailed Summary'!$E$10:$AR$189,178,FALSE)</f>
        <v>0</v>
      </c>
      <c r="F14" s="1080">
        <f>HLOOKUP($B14,'Detailed Summary'!$E$10:$AR$250,239,FALSE)</f>
        <v>0</v>
      </c>
      <c r="G14" s="1076">
        <f t="shared" si="0"/>
        <v>-25183.408850171345</v>
      </c>
      <c r="H14" s="1080">
        <f>HLOOKUP($B14,'Detailed Summary'!$E$10:$AR$311,300,FALSE)</f>
        <v>0</v>
      </c>
      <c r="J14" s="242"/>
      <c r="K14" s="122"/>
    </row>
    <row r="15" spans="1:11" x14ac:dyDescent="0.35">
      <c r="A15" s="1075" t="s">
        <v>1690</v>
      </c>
      <c r="B15" s="1030" t="s">
        <v>1691</v>
      </c>
      <c r="C15" s="1076">
        <f>HLOOKUP($B15,'Detailed Summary'!$E$10:$AR$65,56,FALSE)</f>
        <v>-1465390.1953450101</v>
      </c>
      <c r="D15" s="954">
        <f>HLOOKUP($B15,'Detailed Summary'!$E$10:$AR$126,117,FALSE)</f>
        <v>245319.35439646247</v>
      </c>
      <c r="E15" s="954">
        <f>HLOOKUP($B15,'Detailed Summary'!$E$10:$AR$189,178,FALSE)</f>
        <v>107575.38263788102</v>
      </c>
      <c r="F15" s="1080">
        <f>HLOOKUP($B15,'Detailed Summary'!$E$10:$AR$250,239,FALSE)</f>
        <v>25518.850216597584</v>
      </c>
      <c r="G15" s="1076">
        <f t="shared" si="0"/>
        <v>-1086976.6080940692</v>
      </c>
      <c r="H15" s="1080">
        <f>HLOOKUP($B15,'Detailed Summary'!$E$10:$AR$311,300,FALSE)</f>
        <v>2018.9901818567189</v>
      </c>
      <c r="J15" s="242"/>
      <c r="K15" s="122"/>
    </row>
    <row r="16" spans="1:11" x14ac:dyDescent="0.35">
      <c r="A16" s="1075" t="s">
        <v>1692</v>
      </c>
      <c r="B16" s="1030" t="s">
        <v>1030</v>
      </c>
      <c r="C16" s="1076">
        <f>HLOOKUP($B16,'Detailed Summary'!$E$10:$AR$65,56,FALSE)</f>
        <v>200362.98478774729</v>
      </c>
      <c r="D16" s="954">
        <f>HLOOKUP($B16,'Detailed Summary'!$E$10:$AR$126,117,FALSE)</f>
        <v>0</v>
      </c>
      <c r="E16" s="954">
        <f>HLOOKUP($B16,'Detailed Summary'!$E$10:$AR$189,178,FALSE)</f>
        <v>0</v>
      </c>
      <c r="F16" s="1080">
        <f>HLOOKUP($B16,'Detailed Summary'!$E$10:$AR$250,239,FALSE)</f>
        <v>0</v>
      </c>
      <c r="G16" s="1076">
        <f t="shared" si="0"/>
        <v>200362.98478774729</v>
      </c>
      <c r="H16" s="1080">
        <f>HLOOKUP($B16,'Detailed Summary'!$E$10:$AR$311,300,FALSE)</f>
        <v>0</v>
      </c>
      <c r="J16" s="242"/>
      <c r="K16" s="122"/>
    </row>
    <row r="17" spans="1:11" x14ac:dyDescent="0.35">
      <c r="A17" s="1075" t="s">
        <v>1693</v>
      </c>
      <c r="B17" s="1030" t="s">
        <v>1694</v>
      </c>
      <c r="C17" s="1076">
        <f>HLOOKUP($B17,'Detailed Summary'!$E$10:$AR$65,56,FALSE)</f>
        <v>40444.466970098751</v>
      </c>
      <c r="D17" s="954">
        <f>HLOOKUP($B17,'Detailed Summary'!$E$10:$AR$126,117,FALSE)</f>
        <v>0</v>
      </c>
      <c r="E17" s="954">
        <f>HLOOKUP($B17,'Detailed Summary'!$E$10:$AR$189,178,FALSE)</f>
        <v>0</v>
      </c>
      <c r="F17" s="1080">
        <f>HLOOKUP($B17,'Detailed Summary'!$E$10:$AR$250,239,FALSE)</f>
        <v>0</v>
      </c>
      <c r="G17" s="1076">
        <f t="shared" si="0"/>
        <v>40444.466970098751</v>
      </c>
      <c r="H17" s="1080">
        <f>HLOOKUP($B17,'Detailed Summary'!$E$10:$AR$311,300,FALSE)</f>
        <v>0</v>
      </c>
      <c r="J17" s="242"/>
      <c r="K17" s="122"/>
    </row>
    <row r="18" spans="1:11" x14ac:dyDescent="0.35">
      <c r="A18" s="1075" t="s">
        <v>1695</v>
      </c>
      <c r="B18" s="1030" t="s">
        <v>1696</v>
      </c>
      <c r="C18" s="1076">
        <f>HLOOKUP($B18,'Detailed Summary'!$E$10:$AR$65,56,FALSE)</f>
        <v>576766.85805216338</v>
      </c>
      <c r="D18" s="954">
        <f>HLOOKUP($B18,'Detailed Summary'!$E$10:$AR$126,117,FALSE)</f>
        <v>0</v>
      </c>
      <c r="E18" s="954">
        <f>HLOOKUP($B18,'Detailed Summary'!$E$10:$AR$189,178,FALSE)</f>
        <v>0</v>
      </c>
      <c r="F18" s="1080">
        <f>HLOOKUP($B18,'Detailed Summary'!$E$10:$AR$250,239,FALSE)</f>
        <v>0</v>
      </c>
      <c r="G18" s="1076">
        <f t="shared" si="0"/>
        <v>576766.85805216338</v>
      </c>
      <c r="H18" s="1080">
        <f>HLOOKUP($B18,'Detailed Summary'!$E$10:$AR$311,300,FALSE)</f>
        <v>0</v>
      </c>
      <c r="J18" s="242"/>
      <c r="K18" s="122"/>
    </row>
    <row r="19" spans="1:11" x14ac:dyDescent="0.35">
      <c r="A19" s="1075" t="s">
        <v>1697</v>
      </c>
      <c r="B19" s="1030" t="s">
        <v>1698</v>
      </c>
      <c r="C19" s="1076">
        <f>HLOOKUP($B19,'Detailed Summary'!$E$10:$AR$65,56,FALSE)</f>
        <v>1031599.388987815</v>
      </c>
      <c r="D19" s="954">
        <f>HLOOKUP($B19,'Detailed Summary'!$E$10:$AR$126,117,FALSE)</f>
        <v>0</v>
      </c>
      <c r="E19" s="954">
        <f>HLOOKUP($B19,'Detailed Summary'!$E$10:$AR$189,178,FALSE)</f>
        <v>0</v>
      </c>
      <c r="F19" s="1080">
        <f>HLOOKUP($B19,'Detailed Summary'!$E$10:$AR$250,239,FALSE)</f>
        <v>0</v>
      </c>
      <c r="G19" s="1076">
        <f t="shared" si="0"/>
        <v>1031599.388987815</v>
      </c>
      <c r="H19" s="1080">
        <f>HLOOKUP($B19,'Detailed Summary'!$E$10:$AR$311,300,FALSE)</f>
        <v>-1966485.8422657459</v>
      </c>
      <c r="J19" s="242"/>
      <c r="K19" s="122"/>
    </row>
    <row r="20" spans="1:11" x14ac:dyDescent="0.35">
      <c r="A20" s="1075" t="s">
        <v>1699</v>
      </c>
      <c r="B20" s="1030" t="s">
        <v>1700</v>
      </c>
      <c r="C20" s="1076">
        <f>HLOOKUP($B20,'Detailed Summary'!$E$10:$AR$65,56,FALSE)</f>
        <v>-17367.102537139366</v>
      </c>
      <c r="D20" s="954">
        <f>HLOOKUP($B20,'Detailed Summary'!$E$10:$AR$126,117,FALSE)</f>
        <v>0</v>
      </c>
      <c r="E20" s="954">
        <f>HLOOKUP($B20,'Detailed Summary'!$E$10:$AR$189,178,FALSE)</f>
        <v>0</v>
      </c>
      <c r="F20" s="1080">
        <f>HLOOKUP($B20,'Detailed Summary'!$E$10:$AR$250,239,FALSE)</f>
        <v>0</v>
      </c>
      <c r="G20" s="1076">
        <f t="shared" si="0"/>
        <v>-17367.102537139366</v>
      </c>
      <c r="H20" s="1080">
        <f>HLOOKUP($B20,'Detailed Summary'!$E$10:$AR$311,300,FALSE)</f>
        <v>0</v>
      </c>
      <c r="J20" s="242"/>
      <c r="K20" s="122"/>
    </row>
    <row r="21" spans="1:11" x14ac:dyDescent="0.35">
      <c r="A21" s="1075" t="s">
        <v>1701</v>
      </c>
      <c r="B21" s="1030" t="s">
        <v>1702</v>
      </c>
      <c r="C21" s="1076">
        <f>HLOOKUP($B21,'Detailed Summary'!$E$10:$AR$65,56,FALSE)</f>
        <v>1481266.5012359649</v>
      </c>
      <c r="D21" s="954">
        <f>HLOOKUP($B21,'Detailed Summary'!$E$10:$AR$126,117,FALSE)</f>
        <v>0</v>
      </c>
      <c r="E21" s="954">
        <f>HLOOKUP($B21,'Detailed Summary'!$E$10:$AR$189,178,FALSE)</f>
        <v>0</v>
      </c>
      <c r="F21" s="1080">
        <f>HLOOKUP($B21,'Detailed Summary'!$E$10:$AR$250,239,FALSE)</f>
        <v>0</v>
      </c>
      <c r="G21" s="1076">
        <f t="shared" si="0"/>
        <v>1481266.5012359649</v>
      </c>
      <c r="H21" s="1080">
        <f>HLOOKUP($B21,'Detailed Summary'!$E$10:$AR$311,300,FALSE)</f>
        <v>0</v>
      </c>
      <c r="J21" s="242"/>
      <c r="K21" s="122"/>
    </row>
    <row r="22" spans="1:11" x14ac:dyDescent="0.35">
      <c r="A22" s="1075" t="s">
        <v>1703</v>
      </c>
      <c r="B22" s="1030" t="s">
        <v>1704</v>
      </c>
      <c r="C22" s="1076">
        <f>HLOOKUP($B22,'Detailed Summary'!$E$10:$AR$65,56,FALSE)</f>
        <v>3877995.9080977277</v>
      </c>
      <c r="D22" s="954">
        <f>HLOOKUP($B22,'Detailed Summary'!$E$10:$AR$126,117,FALSE)</f>
        <v>0</v>
      </c>
      <c r="E22" s="954">
        <f>HLOOKUP($B22,'Detailed Summary'!$E$10:$AR$189,178,FALSE)</f>
        <v>0</v>
      </c>
      <c r="F22" s="1080">
        <f>HLOOKUP($B22,'Detailed Summary'!$E$10:$AR$250,239,FALSE)</f>
        <v>0</v>
      </c>
      <c r="G22" s="1076">
        <f t="shared" si="0"/>
        <v>3877995.9080977277</v>
      </c>
      <c r="H22" s="1080">
        <f>HLOOKUP($B22,'Detailed Summary'!$E$10:$AR$311,300,FALSE)</f>
        <v>0</v>
      </c>
      <c r="J22" s="242"/>
      <c r="K22" s="122"/>
    </row>
    <row r="23" spans="1:11" x14ac:dyDescent="0.35">
      <c r="A23" s="1075" t="s">
        <v>1705</v>
      </c>
      <c r="B23" s="1030" t="s">
        <v>1706</v>
      </c>
      <c r="C23" s="1076">
        <f>HLOOKUP($B23,'Detailed Summary'!$E$10:$AR$65,56,FALSE)</f>
        <v>4922029.4036057899</v>
      </c>
      <c r="D23" s="954">
        <f>HLOOKUP($B23,'Detailed Summary'!$E$10:$AR$126,117,FALSE)</f>
        <v>0</v>
      </c>
      <c r="E23" s="954">
        <f>HLOOKUP($B23,'Detailed Summary'!$E$10:$AR$189,178,FALSE)</f>
        <v>0</v>
      </c>
      <c r="F23" s="1080">
        <f>HLOOKUP($B23,'Detailed Summary'!$E$10:$AR$250,239,FALSE)</f>
        <v>0</v>
      </c>
      <c r="G23" s="1076">
        <f t="shared" si="0"/>
        <v>4922029.4036057899</v>
      </c>
      <c r="H23" s="1080">
        <f>HLOOKUP($B23,'Detailed Summary'!$E$10:$AR$311,300,FALSE)</f>
        <v>0</v>
      </c>
      <c r="J23" s="242"/>
      <c r="K23" s="122"/>
    </row>
    <row r="24" spans="1:11" x14ac:dyDescent="0.35">
      <c r="A24" s="1075" t="s">
        <v>1707</v>
      </c>
      <c r="B24" s="1030" t="s">
        <v>1079</v>
      </c>
      <c r="C24" s="1076">
        <f>HLOOKUP($B24,'Detailed Summary'!$E$10:$AR$65,56,FALSE)</f>
        <v>8382577.6666320479</v>
      </c>
      <c r="D24" s="954">
        <f>HLOOKUP($B24,'Detailed Summary'!$E$10:$AR$126,117,FALSE)</f>
        <v>0</v>
      </c>
      <c r="E24" s="954">
        <f>HLOOKUP($B24,'Detailed Summary'!$E$10:$AR$189,178,FALSE)</f>
        <v>0</v>
      </c>
      <c r="F24" s="1080">
        <f>HLOOKUP($B24,'Detailed Summary'!$E$10:$AR$250,239,FALSE)</f>
        <v>0</v>
      </c>
      <c r="G24" s="1076">
        <f t="shared" si="0"/>
        <v>8382577.6666320479</v>
      </c>
      <c r="H24" s="1080">
        <f>HLOOKUP($B24,'Detailed Summary'!$E$10:$AR$311,300,FALSE)</f>
        <v>0</v>
      </c>
      <c r="J24" s="242"/>
      <c r="K24" s="122"/>
    </row>
    <row r="25" spans="1:11" x14ac:dyDescent="0.35">
      <c r="A25" s="1075" t="s">
        <v>1708</v>
      </c>
      <c r="B25" s="1030" t="s">
        <v>1532</v>
      </c>
      <c r="C25" s="1076">
        <f>HLOOKUP($B25,'Detailed Summary'!$E$10:$AR$65,56,FALSE)</f>
        <v>-19119.607793023639</v>
      </c>
      <c r="D25" s="954">
        <f>HLOOKUP($B25,'Detailed Summary'!$E$10:$AR$126,117,FALSE)</f>
        <v>0</v>
      </c>
      <c r="E25" s="954">
        <f>HLOOKUP($B25,'Detailed Summary'!$E$10:$AR$189,178,FALSE)</f>
        <v>0</v>
      </c>
      <c r="F25" s="1080">
        <f>HLOOKUP($B25,'Detailed Summary'!$E$10:$AR$250,239,FALSE)</f>
        <v>0</v>
      </c>
      <c r="G25" s="1076">
        <f t="shared" si="0"/>
        <v>-19119.607793023639</v>
      </c>
      <c r="H25" s="1080">
        <f>HLOOKUP($B25,'Detailed Summary'!$E$10:$AR$311,300,FALSE)</f>
        <v>0</v>
      </c>
      <c r="J25" s="242"/>
      <c r="K25" s="122"/>
    </row>
    <row r="26" spans="1:11" x14ac:dyDescent="0.35">
      <c r="A26" s="1075" t="s">
        <v>1709</v>
      </c>
      <c r="B26" s="1030" t="s">
        <v>1710</v>
      </c>
      <c r="C26" s="1076">
        <f>HLOOKUP($B26,'Detailed Summary'!$E$10:$AR$65,56,FALSE)</f>
        <v>0</v>
      </c>
      <c r="D26" s="954">
        <f>HLOOKUP($B26,'Detailed Summary'!$E$10:$AR$126,117,FALSE)</f>
        <v>0</v>
      </c>
      <c r="E26" s="954">
        <f>HLOOKUP($B26,'Detailed Summary'!$E$10:$AR$189,178,FALSE)</f>
        <v>0</v>
      </c>
      <c r="F26" s="1080">
        <f>HLOOKUP($B26,'Detailed Summary'!$E$10:$AR$250,239,FALSE)</f>
        <v>4378071.593075173</v>
      </c>
      <c r="G26" s="1076">
        <f t="shared" si="0"/>
        <v>4378071.593075173</v>
      </c>
      <c r="H26" s="1080">
        <f>HLOOKUP($B26,'Detailed Summary'!$E$10:$AR$311,300,FALSE)</f>
        <v>8078633.5371558303</v>
      </c>
      <c r="J26" s="242"/>
      <c r="K26" s="122"/>
    </row>
    <row r="27" spans="1:11" x14ac:dyDescent="0.35">
      <c r="A27" s="1075" t="s">
        <v>1711</v>
      </c>
      <c r="B27" s="1030" t="s">
        <v>1428</v>
      </c>
      <c r="C27" s="1076">
        <f>HLOOKUP($B27,'Detailed Summary'!$E$10:$AR$65,56,FALSE)</f>
        <v>0</v>
      </c>
      <c r="D27" s="954">
        <f>HLOOKUP($B27,'Detailed Summary'!$E$10:$AR$126,117,FALSE)</f>
        <v>-5777366.7849975815</v>
      </c>
      <c r="E27" s="954">
        <f>HLOOKUP($B27,'Detailed Summary'!$E$10:$AR$189,178,FALSE)</f>
        <v>0</v>
      </c>
      <c r="F27" s="1080">
        <f>HLOOKUP($B27,'Detailed Summary'!$E$10:$AR$250,239,FALSE)</f>
        <v>0</v>
      </c>
      <c r="G27" s="1076">
        <f t="shared" si="0"/>
        <v>-5777366.7849975815</v>
      </c>
      <c r="H27" s="1080">
        <f>HLOOKUP($B27,'Detailed Summary'!$E$10:$AR$311,300,FALSE)</f>
        <v>0</v>
      </c>
      <c r="J27" s="242"/>
      <c r="K27" s="122"/>
    </row>
    <row r="28" spans="1:11" x14ac:dyDescent="0.35">
      <c r="A28" s="1075" t="s">
        <v>1712</v>
      </c>
      <c r="B28" s="1030" t="s">
        <v>1713</v>
      </c>
      <c r="C28" s="1076">
        <f>HLOOKUP($B28,'Detailed Summary'!$E$10:$AR$65,56,FALSE)</f>
        <v>-1797692.5569535706</v>
      </c>
      <c r="D28" s="954">
        <f>HLOOKUP($B28,'Detailed Summary'!$E$10:$AR$126,117,FALSE)</f>
        <v>5641861.1769535709</v>
      </c>
      <c r="E28" s="954">
        <f>HLOOKUP($B28,'Detailed Summary'!$E$10:$AR$189,178,FALSE)</f>
        <v>0</v>
      </c>
      <c r="F28" s="1080">
        <f>HLOOKUP($B28,'Detailed Summary'!$E$10:$AR$250,239,FALSE)</f>
        <v>4942337.7090456896</v>
      </c>
      <c r="G28" s="1076">
        <f t="shared" si="0"/>
        <v>8786506.3290456906</v>
      </c>
      <c r="H28" s="1080">
        <f>HLOOKUP($B28,'Detailed Summary'!$E$10:$AR$311,300,FALSE)</f>
        <v>0</v>
      </c>
      <c r="J28" s="242"/>
      <c r="K28" s="122"/>
    </row>
    <row r="29" spans="1:11" x14ac:dyDescent="0.35">
      <c r="A29" s="1075" t="s">
        <v>1714</v>
      </c>
      <c r="B29" s="1030" t="s">
        <v>1716</v>
      </c>
      <c r="C29" s="1076">
        <f>HLOOKUP($B29,'Detailed Summary'!$E$10:$AR$65,56,FALSE)</f>
        <v>354946.30150719668</v>
      </c>
      <c r="D29" s="954">
        <f>HLOOKUP($B29,'Detailed Summary'!$E$10:$AR$126,117,FALSE)</f>
        <v>-11092.047291212084</v>
      </c>
      <c r="E29" s="954">
        <f>HLOOKUP($B29,'Detailed Summary'!$E$10:$AR$189,178,FALSE)</f>
        <v>11092.061904263221</v>
      </c>
      <c r="F29" s="1080">
        <f>HLOOKUP($B29,'Detailed Summary'!$E$10:$AR$250,239,FALSE)</f>
        <v>-1811786.3908045786</v>
      </c>
      <c r="G29" s="1076">
        <f t="shared" si="0"/>
        <v>-1456840.0746843307</v>
      </c>
      <c r="H29" s="1080">
        <f>HLOOKUP($B29,'Detailed Summary'!$E$10:$AR$311,300,FALSE)</f>
        <v>-1873999.7209310038</v>
      </c>
      <c r="J29" s="242"/>
      <c r="K29" s="122"/>
    </row>
    <row r="30" spans="1:11" x14ac:dyDescent="0.35">
      <c r="A30" s="1075" t="s">
        <v>1715</v>
      </c>
      <c r="B30" s="1030" t="s">
        <v>1719</v>
      </c>
      <c r="C30" s="1076">
        <f>HLOOKUP($B30,'Detailed Summary'!$E$10:$AR$65,56,FALSE)</f>
        <v>0</v>
      </c>
      <c r="D30" s="954">
        <f>HLOOKUP($B30,'Detailed Summary'!$E$10:$AR$126,117,FALSE)</f>
        <v>0</v>
      </c>
      <c r="E30" s="954">
        <f>HLOOKUP($B30,'Detailed Summary'!$E$10:$AR$189,178,FALSE)</f>
        <v>0</v>
      </c>
      <c r="F30" s="1080">
        <f>HLOOKUP($B30,'Detailed Summary'!$E$10:$AR$250,239,FALSE)</f>
        <v>0</v>
      </c>
      <c r="G30" s="1076">
        <f t="shared" si="0"/>
        <v>0</v>
      </c>
      <c r="H30" s="1080">
        <f>HLOOKUP($B30,'Detailed Summary'!$E$10:$AR$311,300,FALSE)</f>
        <v>0</v>
      </c>
      <c r="J30" s="242"/>
      <c r="K30" s="122"/>
    </row>
    <row r="31" spans="1:11" x14ac:dyDescent="0.35">
      <c r="A31" s="1075" t="s">
        <v>1717</v>
      </c>
      <c r="B31" s="1030" t="s">
        <v>1721</v>
      </c>
      <c r="C31" s="1076">
        <f>HLOOKUP($B31,'Detailed Summary'!$E$10:$AR$65,56,FALSE)</f>
        <v>0</v>
      </c>
      <c r="D31" s="954">
        <f>HLOOKUP($B31,'Detailed Summary'!$E$10:$AR$126,117,FALSE)</f>
        <v>-7586213.776553819</v>
      </c>
      <c r="E31" s="954">
        <f>HLOOKUP($B31,'Detailed Summary'!$E$10:$AR$189,178,FALSE)</f>
        <v>-18929686.651727933</v>
      </c>
      <c r="F31" s="1080">
        <f>HLOOKUP($B31,'Detailed Summary'!$E$10:$AR$250,239,FALSE)</f>
        <v>59801943.809795976</v>
      </c>
      <c r="G31" s="1076">
        <f t="shared" si="0"/>
        <v>33286043.381514221</v>
      </c>
      <c r="H31" s="1080">
        <f>HLOOKUP($B31,'Detailed Summary'!$E$10:$AR$311,300,FALSE)</f>
        <v>-30177391.188882951</v>
      </c>
      <c r="J31" s="242"/>
      <c r="K31" s="122"/>
    </row>
    <row r="32" spans="1:11" x14ac:dyDescent="0.35">
      <c r="A32" s="1075" t="s">
        <v>1718</v>
      </c>
      <c r="B32" s="1030" t="s">
        <v>1723</v>
      </c>
      <c r="C32" s="1076">
        <f>HLOOKUP($B32,'Detailed Summary'!$E$10:$AR$65,56,FALSE)</f>
        <v>0</v>
      </c>
      <c r="D32" s="954">
        <f>HLOOKUP($B32,'Detailed Summary'!$E$10:$AR$126,117,FALSE)</f>
        <v>-40496.10377174618</v>
      </c>
      <c r="E32" s="954">
        <f>HLOOKUP($B32,'Detailed Summary'!$E$10:$AR$189,178,FALSE)</f>
        <v>-237730.88555156163</v>
      </c>
      <c r="F32" s="1080">
        <f>HLOOKUP($B32,'Detailed Summary'!$E$10:$AR$250,239,FALSE)</f>
        <v>-617725.13555885514</v>
      </c>
      <c r="G32" s="1076">
        <f t="shared" si="0"/>
        <v>-895952.12488216301</v>
      </c>
      <c r="H32" s="1080">
        <f>HLOOKUP($B32,'Detailed Summary'!$E$10:$AR$311,300,FALSE)</f>
        <v>-546303.5384009569</v>
      </c>
      <c r="J32" s="242"/>
      <c r="K32" s="122"/>
    </row>
    <row r="33" spans="1:13" x14ac:dyDescent="0.35">
      <c r="A33" s="1075" t="s">
        <v>1720</v>
      </c>
      <c r="B33" s="1030" t="s">
        <v>1725</v>
      </c>
      <c r="C33" s="1076">
        <f>HLOOKUP($B33,'Detailed Summary'!$E$10:$AR$65,56,FALSE)</f>
        <v>0</v>
      </c>
      <c r="D33" s="954">
        <f>HLOOKUP($B33,'Detailed Summary'!$E$10:$AR$126,117,FALSE)</f>
        <v>6863761.034308983</v>
      </c>
      <c r="E33" s="954">
        <f>HLOOKUP($B33,'Detailed Summary'!$E$10:$AR$189,178,FALSE)</f>
        <v>19662136.538079266</v>
      </c>
      <c r="F33" s="1080">
        <f>HLOOKUP($B33,'Detailed Summary'!$E$10:$AR$250,239,FALSE)</f>
        <v>16251671.935613997</v>
      </c>
      <c r="G33" s="1076">
        <f t="shared" si="0"/>
        <v>42777569.508002244</v>
      </c>
      <c r="H33" s="1080">
        <f>HLOOKUP($B33,'Detailed Summary'!$E$10:$AR$311,300,FALSE)</f>
        <v>23041617.605685104</v>
      </c>
      <c r="J33" s="242"/>
      <c r="K33" s="122"/>
    </row>
    <row r="34" spans="1:13" x14ac:dyDescent="0.35">
      <c r="A34" s="1075" t="s">
        <v>1722</v>
      </c>
      <c r="B34" s="1030" t="s">
        <v>1727</v>
      </c>
      <c r="C34" s="1076">
        <f>HLOOKUP($B34,'Detailed Summary'!$E$10:$AR$65,56,FALSE)</f>
        <v>0</v>
      </c>
      <c r="D34" s="954">
        <f>HLOOKUP($B34,'Detailed Summary'!$E$10:$AR$126,117,FALSE)</f>
        <v>5583316.4584255368</v>
      </c>
      <c r="E34" s="954">
        <f>HLOOKUP($B34,'Detailed Summary'!$E$10:$AR$189,178,FALSE)</f>
        <v>11216667.169618528</v>
      </c>
      <c r="F34" s="1080">
        <f>HLOOKUP($B34,'Detailed Summary'!$E$10:$AR$250,239,FALSE)</f>
        <v>7238897.1006380189</v>
      </c>
      <c r="G34" s="1076">
        <f t="shared" si="0"/>
        <v>24038880.728682086</v>
      </c>
      <c r="H34" s="1080">
        <f>HLOOKUP($B34,'Detailed Summary'!$E$10:$AR$311,300,FALSE)</f>
        <v>6664989.5537931584</v>
      </c>
      <c r="J34" s="242"/>
    </row>
    <row r="35" spans="1:13" x14ac:dyDescent="0.35">
      <c r="A35" s="1075" t="s">
        <v>1724</v>
      </c>
      <c r="B35" s="1030" t="s">
        <v>1729</v>
      </c>
      <c r="C35" s="1076">
        <f>HLOOKUP($B35,'Detailed Summary'!$E$10:$AR$65,56,FALSE)</f>
        <v>0</v>
      </c>
      <c r="D35" s="954">
        <f>HLOOKUP($B35,'Detailed Summary'!$E$10:$AR$126,117,FALSE)</f>
        <v>6303.1924874007736</v>
      </c>
      <c r="E35" s="954">
        <f>HLOOKUP($B35,'Detailed Summary'!$E$10:$AR$189,178,FALSE)</f>
        <v>1286920.0065289915</v>
      </c>
      <c r="F35" s="1080">
        <f>HLOOKUP($B35,'Detailed Summary'!$E$10:$AR$250,239,FALSE)</f>
        <v>443925.4849760611</v>
      </c>
      <c r="G35" s="1076">
        <f t="shared" si="0"/>
        <v>1737148.6839924534</v>
      </c>
      <c r="H35" s="1080">
        <f>HLOOKUP($B35,'Detailed Summary'!$E$10:$AR$311,300,FALSE)</f>
        <v>428763.46467757924</v>
      </c>
      <c r="J35" s="242"/>
    </row>
    <row r="36" spans="1:13" x14ac:dyDescent="0.35">
      <c r="A36" s="1075" t="s">
        <v>1726</v>
      </c>
      <c r="B36" s="1030" t="s">
        <v>1731</v>
      </c>
      <c r="C36" s="1076">
        <f>HLOOKUP($B36,'Detailed Summary'!$E$10:$AR$65,56,FALSE)</f>
        <v>0</v>
      </c>
      <c r="D36" s="954">
        <f>HLOOKUP($B36,'Detailed Summary'!$E$10:$AR$126,117,FALSE)</f>
        <v>4979600.1512984894</v>
      </c>
      <c r="E36" s="954">
        <f>HLOOKUP($B36,'Detailed Summary'!$E$10:$AR$189,178,FALSE)</f>
        <v>11669426.48945293</v>
      </c>
      <c r="F36" s="1080">
        <f>HLOOKUP($B36,'Detailed Summary'!$E$10:$AR$250,239,FALSE)</f>
        <v>10044638.928829074</v>
      </c>
      <c r="G36" s="1076">
        <f t="shared" si="0"/>
        <v>26693665.569580495</v>
      </c>
      <c r="H36" s="1080">
        <f>HLOOKUP($B36,'Detailed Summary'!$E$10:$AR$311,300,FALSE)</f>
        <v>13051422.248184377</v>
      </c>
      <c r="J36" s="242"/>
    </row>
    <row r="37" spans="1:13" x14ac:dyDescent="0.35">
      <c r="A37" s="1075" t="s">
        <v>1728</v>
      </c>
      <c r="B37" s="1030" t="s">
        <v>1740</v>
      </c>
      <c r="C37" s="1076">
        <f>HLOOKUP($B37,'Detailed Summary'!$E$10:$AR$65,56,FALSE)</f>
        <v>2257868.9776893225</v>
      </c>
      <c r="D37" s="954">
        <f>HLOOKUP($B37,'Detailed Summary'!$E$10:$AR$126,117,FALSE)</f>
        <v>0</v>
      </c>
      <c r="E37" s="954">
        <f>HLOOKUP($B37,'Detailed Summary'!$E$10:$AR$189,178,FALSE)</f>
        <v>0</v>
      </c>
      <c r="F37" s="1080">
        <f>HLOOKUP($B37,'Detailed Summary'!$E$10:$AR$250,239,FALSE)</f>
        <v>0</v>
      </c>
      <c r="G37" s="1076">
        <f t="shared" si="0"/>
        <v>2257868.9776893225</v>
      </c>
      <c r="H37" s="1080">
        <f>HLOOKUP($B37,'Detailed Summary'!$E$10:$AR$311,300,FALSE)</f>
        <v>0</v>
      </c>
      <c r="J37" s="242"/>
    </row>
    <row r="38" spans="1:13" x14ac:dyDescent="0.35">
      <c r="A38" s="1075" t="s">
        <v>1730</v>
      </c>
      <c r="B38" s="1030" t="s">
        <v>1741</v>
      </c>
      <c r="C38" s="1076">
        <f>HLOOKUP($B38,'Detailed Summary'!$E$10:$AR$65,56,FALSE)</f>
        <v>1691554.9282497123</v>
      </c>
      <c r="D38" s="954">
        <f>HLOOKUP($B38,'Detailed Summary'!$E$10:$AR$126,117,FALSE)</f>
        <v>0</v>
      </c>
      <c r="E38" s="954">
        <f>HLOOKUP($B38,'Detailed Summary'!$E$10:$AR$189,178,FALSE)</f>
        <v>0</v>
      </c>
      <c r="F38" s="1080">
        <f>HLOOKUP($B38,'Detailed Summary'!$E$10:$AR$250,239,FALSE)</f>
        <v>2517290.1325795595</v>
      </c>
      <c r="G38" s="1076">
        <f t="shared" si="0"/>
        <v>4208845.0608292716</v>
      </c>
      <c r="H38" s="1080">
        <f>HLOOKUP($B38,'Detailed Summary'!$E$10:$AR$311,300,FALSE)</f>
        <v>0</v>
      </c>
      <c r="J38" s="242"/>
    </row>
    <row r="39" spans="1:13" x14ac:dyDescent="0.35">
      <c r="A39" s="1075" t="s">
        <v>1742</v>
      </c>
      <c r="B39" s="1030" t="s">
        <v>1860</v>
      </c>
      <c r="C39" s="1076">
        <f>HLOOKUP($B39,'Detailed Summary'!$E$10:$AR$65,56,FALSE)</f>
        <v>-91606.787472504453</v>
      </c>
      <c r="D39" s="954">
        <f>HLOOKUP($B39,'Detailed Summary'!$E$10:$AR$126,117,FALSE)</f>
        <v>0</v>
      </c>
      <c r="E39" s="954">
        <f>HLOOKUP($B39,'Detailed Summary'!$E$10:$AR$189,178,FALSE)</f>
        <v>0</v>
      </c>
      <c r="F39" s="1080">
        <f>HLOOKUP($B39,'Detailed Summary'!$E$10:$AR$250,239,FALSE)</f>
        <v>64941.866554938722</v>
      </c>
      <c r="G39" s="1076">
        <f t="shared" si="0"/>
        <v>-26664.920917565731</v>
      </c>
      <c r="H39" s="1080">
        <f>HLOOKUP($B39,'Detailed Summary'!$E$10:$AR$311,300,FALSE)</f>
        <v>0</v>
      </c>
      <c r="J39" s="242"/>
    </row>
    <row r="40" spans="1:13" x14ac:dyDescent="0.35">
      <c r="A40" s="1075" t="s">
        <v>1743</v>
      </c>
      <c r="B40" s="1030" t="s">
        <v>1884</v>
      </c>
      <c r="C40" s="1076">
        <f>HLOOKUP($B40,'Detailed Summary'!$E$10:$AR$65,56,FALSE)</f>
        <v>0</v>
      </c>
      <c r="D40" s="954">
        <f>HLOOKUP($B40,'Detailed Summary'!$E$10:$AR$126,117,FALSE)</f>
        <v>0</v>
      </c>
      <c r="E40" s="954">
        <f>HLOOKUP($B40,'Detailed Summary'!$E$10:$AR$189,178,FALSE)</f>
        <v>0</v>
      </c>
      <c r="F40" s="1080">
        <f>HLOOKUP($B40,'Detailed Summary'!$E$10:$AR$250,239,FALSE)</f>
        <v>0</v>
      </c>
      <c r="G40" s="1076">
        <f t="shared" si="0"/>
        <v>0</v>
      </c>
      <c r="H40" s="1080">
        <f>HLOOKUP($B40,'Detailed Summary'!$E$10:$AR$311,300,FALSE)</f>
        <v>0</v>
      </c>
      <c r="J40" s="242"/>
    </row>
    <row r="41" spans="1:13" x14ac:dyDescent="0.35">
      <c r="A41" s="1075" t="s">
        <v>1744</v>
      </c>
      <c r="B41" s="1030" t="s">
        <v>1530</v>
      </c>
      <c r="C41" s="1076">
        <f>HLOOKUP($B41,'Detailed Summary'!$E$10:$AR$65,56,FALSE)</f>
        <v>0</v>
      </c>
      <c r="D41" s="954">
        <f>HLOOKUP($B41,'Detailed Summary'!$E$10:$AR$126,117,FALSE)</f>
        <v>0</v>
      </c>
      <c r="E41" s="954">
        <f>HLOOKUP($B41,'Detailed Summary'!$E$10:$AR$189,178,FALSE)</f>
        <v>0</v>
      </c>
      <c r="F41" s="1080">
        <f>HLOOKUP($B41,'Detailed Summary'!$E$10:$AR$250,239,FALSE)</f>
        <v>422917.0294353299</v>
      </c>
      <c r="G41" s="1076">
        <f t="shared" si="0"/>
        <v>422917.0294353299</v>
      </c>
      <c r="H41" s="1080">
        <f>HLOOKUP($B41,'Detailed Summary'!$E$10:$AR$311,300,FALSE)</f>
        <v>14802.096030236429</v>
      </c>
      <c r="J41" s="242"/>
    </row>
    <row r="42" spans="1:13" x14ac:dyDescent="0.35">
      <c r="A42" s="1075">
        <v>11.38</v>
      </c>
      <c r="B42" s="1030" t="s">
        <v>1746</v>
      </c>
      <c r="C42" s="1076">
        <f>HLOOKUP($B42,'Detailed Summary'!$E$10:$AR$65,56,FALSE)</f>
        <v>0</v>
      </c>
      <c r="D42" s="954">
        <f>HLOOKUP($B42,'Detailed Summary'!$E$10:$AR$126,117,FALSE)</f>
        <v>-3817268.7471008785</v>
      </c>
      <c r="E42" s="954">
        <f>HLOOKUP($B42,'Detailed Summary'!$E$10:$AR$189,178,FALSE)</f>
        <v>0</v>
      </c>
      <c r="F42" s="1080">
        <f>HLOOKUP($B42,'Detailed Summary'!$E$10:$AR$250,239,FALSE)</f>
        <v>0</v>
      </c>
      <c r="G42" s="1076">
        <f t="shared" si="0"/>
        <v>-3817268.7471008785</v>
      </c>
      <c r="H42" s="1080">
        <f>HLOOKUP($B42,'Detailed Summary'!$E$10:$AR$311,300,FALSE)</f>
        <v>0</v>
      </c>
      <c r="J42" s="242"/>
    </row>
    <row r="43" spans="1:13" x14ac:dyDescent="0.35">
      <c r="A43" s="1075">
        <v>11.39</v>
      </c>
      <c r="B43" s="1030" t="s">
        <v>1745</v>
      </c>
      <c r="C43" s="1076">
        <f>HLOOKUP($B43,'Detailed Summary'!$E$10:$AR$65,56,FALSE)</f>
        <v>0</v>
      </c>
      <c r="D43" s="954">
        <f>HLOOKUP($B43,'Detailed Summary'!$E$10:$AR$126,117,FALSE)</f>
        <v>5560147.1153105497</v>
      </c>
      <c r="E43" s="954">
        <f>HLOOKUP($B43,'Detailed Summary'!$E$10:$AR$189,178,FALSE)</f>
        <v>-3490585.9086688594</v>
      </c>
      <c r="F43" s="1080">
        <f>HLOOKUP($B43,'Detailed Summary'!$E$10:$AR$250,239,FALSE)</f>
        <v>-490891.65922630538</v>
      </c>
      <c r="G43" s="1076">
        <f t="shared" si="0"/>
        <v>1578669.547415385</v>
      </c>
      <c r="H43" s="1080">
        <f>HLOOKUP($B43,'Detailed Summary'!$E$10:$AR$311,300,FALSE)</f>
        <v>-6595102.029050733</v>
      </c>
      <c r="I43"/>
      <c r="J43" s="1210" t="s">
        <v>1881</v>
      </c>
      <c r="K43" s="1209"/>
    </row>
    <row r="44" spans="1:13" x14ac:dyDescent="0.35">
      <c r="A44" s="1075">
        <v>11.4</v>
      </c>
      <c r="B44" s="1030" t="s">
        <v>1792</v>
      </c>
      <c r="C44" s="1076">
        <f>HLOOKUP($B44,'Detailed Summary'!$E$10:$AR$65,56,FALSE)</f>
        <v>-3241073.7337100296</v>
      </c>
      <c r="D44" s="954">
        <f>HLOOKUP($B44,'Detailed Summary'!$E$10:$AR$126,117,FALSE)</f>
        <v>-390480.6876469173</v>
      </c>
      <c r="E44" s="954">
        <f>HLOOKUP($B44,'Detailed Summary'!$E$10:$AR$189,178,FALSE)</f>
        <v>-783269.86006498255</v>
      </c>
      <c r="F44" s="1080">
        <f>HLOOKUP($B44,'Detailed Summary'!$E$10:$AR$250,239,FALSE)</f>
        <v>-635986.04674512078</v>
      </c>
      <c r="G44" s="1076">
        <f t="shared" si="0"/>
        <v>-5050810.3281670501</v>
      </c>
      <c r="H44" s="1080">
        <f>HLOOKUP($B44,'Detailed Summary'!$E$10:$AR$311,300,FALSE)</f>
        <v>-795376.3842863969</v>
      </c>
      <c r="I44"/>
      <c r="J44" s="1206">
        <f>'Def, COC, ConvF DPK-7 '!D13</f>
        <v>7.3700000000000002E-2</v>
      </c>
      <c r="K44" s="1202" t="s">
        <v>1879</v>
      </c>
    </row>
    <row r="45" spans="1:13" x14ac:dyDescent="0.35">
      <c r="A45" s="1272"/>
      <c r="B45" s="1030" t="s">
        <v>1735</v>
      </c>
      <c r="C45" s="1076"/>
      <c r="D45" s="954"/>
      <c r="E45" s="954"/>
      <c r="F45" s="1080"/>
      <c r="G45" s="1076"/>
      <c r="H45" s="1080">
        <f>J47-G46-SUM(H4:H44)</f>
        <v>10690564.865784895</v>
      </c>
      <c r="I45"/>
      <c r="J45" s="1211">
        <f>'Def, COC, ConvF DPK-7 '!P20</f>
        <v>0.75421300000000002</v>
      </c>
      <c r="K45" s="1203" t="s">
        <v>852</v>
      </c>
    </row>
    <row r="46" spans="1:13" x14ac:dyDescent="0.35">
      <c r="A46" s="1029"/>
      <c r="B46" s="1030" t="s">
        <v>1732</v>
      </c>
      <c r="C46" s="1079">
        <f t="shared" ref="C46:F46" si="1">SUM(C4:C45)</f>
        <v>784848.69877414405</v>
      </c>
      <c r="D46" s="242">
        <f t="shared" si="1"/>
        <v>94753406.139855549</v>
      </c>
      <c r="E46" s="242">
        <f t="shared" si="1"/>
        <v>114806283.11358322</v>
      </c>
      <c r="F46" s="1086">
        <f t="shared" si="1"/>
        <v>214996916.69628325</v>
      </c>
      <c r="G46" s="1081">
        <f>SUM(G4:G45)</f>
        <v>214996916.69628319</v>
      </c>
      <c r="H46" s="1087">
        <f>SUM(H4:H45)</f>
        <v>20126548.185398161</v>
      </c>
      <c r="I46"/>
      <c r="J46" s="1207">
        <f>'Detailed Summary'!BC291-('Detailed Summary'!BC304*J44)</f>
        <v>-177333173.81880754</v>
      </c>
      <c r="K46" s="1204" t="s">
        <v>1880</v>
      </c>
      <c r="M46" s="116"/>
    </row>
    <row r="47" spans="1:13" x14ac:dyDescent="0.35">
      <c r="A47" s="1029"/>
      <c r="B47" s="1030" t="s">
        <v>1736</v>
      </c>
      <c r="C47" s="1029"/>
      <c r="F47" s="1030"/>
      <c r="G47" s="1082">
        <f>'Def, COC, ConvF DPK-7 '!C31</f>
        <v>-55609679.351386845</v>
      </c>
      <c r="H47" s="1091">
        <f>'Def, COC, ConvF DPK-7 '!D31</f>
        <v>0</v>
      </c>
      <c r="I47"/>
      <c r="J47" s="1208">
        <f>-J46/J45</f>
        <v>235123464.88168135</v>
      </c>
      <c r="K47" s="1205" t="s">
        <v>1882</v>
      </c>
      <c r="M47" s="994"/>
    </row>
    <row r="48" spans="1:13" ht="15" thickBot="1" x14ac:dyDescent="0.4">
      <c r="A48" s="1029"/>
      <c r="B48" s="1030" t="s">
        <v>1737</v>
      </c>
      <c r="C48" s="1029"/>
      <c r="D48" s="236"/>
      <c r="F48" s="1030"/>
      <c r="G48" s="1083">
        <f>SUM(G46:G47)</f>
        <v>159387237.34489635</v>
      </c>
      <c r="H48" s="1088">
        <f>SUM(H46:H47)</f>
        <v>20126548.185398161</v>
      </c>
      <c r="I48"/>
    </row>
    <row r="49" spans="1:9" ht="15" thickTop="1" x14ac:dyDescent="0.35">
      <c r="A49" s="1084"/>
      <c r="B49" s="1092"/>
      <c r="C49" s="1084"/>
      <c r="D49" s="1273"/>
      <c r="E49" s="322"/>
      <c r="F49" s="1092"/>
      <c r="G49" s="1084"/>
      <c r="H49" s="1271"/>
      <c r="I49"/>
    </row>
    <row r="50" spans="1:9" x14ac:dyDescent="0.35">
      <c r="I50"/>
    </row>
    <row r="51" spans="1:9" x14ac:dyDescent="0.35">
      <c r="I51"/>
    </row>
    <row r="52" spans="1:9" x14ac:dyDescent="0.35">
      <c r="I52"/>
    </row>
    <row r="53" spans="1:9" x14ac:dyDescent="0.35">
      <c r="B53" s="1077" t="s">
        <v>1738</v>
      </c>
      <c r="G53" s="1073">
        <f>'Def, COC, ConvF DPK-7 '!C23-'SEF-NOI-RB p2 Gas wp'!G46</f>
        <v>5107741.3037168086</v>
      </c>
      <c r="H53" s="1073">
        <f>'Def, COC, ConvF DPK-7 '!D23-H46</f>
        <v>-5107741.1853981614</v>
      </c>
      <c r="I53"/>
    </row>
    <row r="54" spans="1:9" x14ac:dyDescent="0.35">
      <c r="B54" s="1077" t="s">
        <v>1739</v>
      </c>
      <c r="G54" s="1073">
        <f>'Def, COC, ConvF DPK-7 '!C33-'SEF-NOI-RB p2 Gas wp'!G48</f>
        <v>5107741.3037168086</v>
      </c>
      <c r="H54" s="1073">
        <f>'Def, COC, ConvF DPK-7 '!D33-H48</f>
        <v>-5107741.1853981614</v>
      </c>
    </row>
  </sheetData>
  <printOptions horizontalCentered="1"/>
  <pageMargins left="0.2" right="0.2" top="0.5" bottom="0.5" header="0.3" footer="0.3"/>
  <pageSetup scale="72" orientation="landscape" horizontalDpi="4294967293" verticalDpi="120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W89"/>
  <sheetViews>
    <sheetView workbookViewId="0">
      <pane xSplit="2" ySplit="12" topLeftCell="C13" activePane="bottomRight" state="frozen"/>
      <selection activeCell="B159" sqref="B159"/>
      <selection pane="topRight" activeCell="B159" sqref="B159"/>
      <selection pane="bottomLeft" activeCell="B159" sqref="B159"/>
      <selection pane="bottomRight" activeCell="E15" sqref="E15"/>
    </sheetView>
  </sheetViews>
  <sheetFormatPr defaultRowHeight="14.5" outlineLevelCol="1" x14ac:dyDescent="0.35"/>
  <cols>
    <col min="1" max="1" width="5" customWidth="1"/>
    <col min="2" max="2" width="43" bestFit="1" customWidth="1"/>
    <col min="3" max="8" width="16.453125" style="1" customWidth="1"/>
    <col min="9" max="11" width="16.453125" style="1" hidden="1" customWidth="1"/>
    <col min="12" max="12" width="0" hidden="1" customWidth="1"/>
    <col min="13" max="15" width="16.26953125" hidden="1" customWidth="1" outlineLevel="1"/>
    <col min="16" max="16" width="9.26953125" hidden="1" customWidth="1" outlineLevel="1"/>
    <col min="17" max="19" width="16.26953125" hidden="1" customWidth="1" outlineLevel="1"/>
    <col min="20" max="20" width="9.26953125" collapsed="1"/>
    <col min="21" max="21" width="13.54296875" bestFit="1" customWidth="1"/>
    <col min="22" max="22" width="11.7265625" bestFit="1" customWidth="1"/>
    <col min="23" max="23" width="13.54296875" bestFit="1" customWidth="1"/>
  </cols>
  <sheetData>
    <row r="1" spans="1:23" x14ac:dyDescent="0.35">
      <c r="A1" s="3" t="s">
        <v>73</v>
      </c>
      <c r="B1" s="1"/>
      <c r="D1" s="1" t="s">
        <v>188</v>
      </c>
      <c r="E1" s="114">
        <f>E58</f>
        <v>2866503992.9496732</v>
      </c>
      <c r="H1" s="114">
        <f>H58</f>
        <v>2863128296.2018123</v>
      </c>
    </row>
    <row r="2" spans="1:23" x14ac:dyDescent="0.35">
      <c r="A2" s="3" t="s">
        <v>74</v>
      </c>
      <c r="B2" s="1"/>
      <c r="D2" s="1" t="s">
        <v>913</v>
      </c>
      <c r="E2" s="421">
        <f>'Def, COC, ConvF DPK-7 '!$K$27</f>
        <v>7.3575000000000002E-2</v>
      </c>
      <c r="H2" s="421">
        <f>'Def, COC, ConvF DPK-7 '!$K$39</f>
        <v>7.3700000000000002E-2</v>
      </c>
    </row>
    <row r="3" spans="1:23" x14ac:dyDescent="0.35">
      <c r="A3" s="3" t="s">
        <v>75</v>
      </c>
      <c r="B3" s="1"/>
      <c r="D3" s="1" t="s">
        <v>916</v>
      </c>
      <c r="E3" s="422">
        <f>E1*E2</f>
        <v>210903031.2812722</v>
      </c>
      <c r="H3" s="422">
        <f>H1*H2</f>
        <v>211012555.43007356</v>
      </c>
    </row>
    <row r="4" spans="1:23" x14ac:dyDescent="0.35">
      <c r="A4" s="3" t="s">
        <v>922</v>
      </c>
      <c r="B4" s="1"/>
      <c r="D4" s="1" t="s">
        <v>917</v>
      </c>
      <c r="E4" s="121">
        <f>E45</f>
        <v>559370486.80562925</v>
      </c>
      <c r="H4" s="121">
        <f>H45</f>
        <v>576423488.81692731</v>
      </c>
    </row>
    <row r="5" spans="1:23" ht="15" thickBot="1" x14ac:dyDescent="0.4">
      <c r="A5" s="3" t="s">
        <v>926</v>
      </c>
      <c r="B5" s="1"/>
      <c r="D5" s="1" t="s">
        <v>918</v>
      </c>
      <c r="E5" s="383">
        <f>SUM(E3:E4)</f>
        <v>770273518.08690143</v>
      </c>
      <c r="H5" s="383">
        <f>SUM(H3:H4)</f>
        <v>787436044.24700093</v>
      </c>
    </row>
    <row r="6" spans="1:23" ht="15" thickTop="1" x14ac:dyDescent="0.35">
      <c r="A6" s="3"/>
      <c r="B6" s="1"/>
      <c r="C6" s="226"/>
      <c r="D6" s="226"/>
      <c r="E6" s="423">
        <f>E19-E5</f>
        <v>0</v>
      </c>
      <c r="F6" s="226"/>
      <c r="G6" s="226"/>
      <c r="H6" s="423">
        <f>H19-H5</f>
        <v>0</v>
      </c>
      <c r="I6" s="226"/>
      <c r="J6" s="226"/>
      <c r="K6" s="226"/>
    </row>
    <row r="7" spans="1:23" x14ac:dyDescent="0.35">
      <c r="A7" s="3"/>
      <c r="B7" s="1"/>
      <c r="C7" s="226"/>
      <c r="D7" s="226"/>
      <c r="E7" s="226"/>
      <c r="F7" s="226"/>
      <c r="G7" s="226"/>
      <c r="H7" s="226"/>
      <c r="I7" s="226"/>
      <c r="J7" s="226"/>
      <c r="K7" s="226"/>
    </row>
    <row r="8" spans="1:23" x14ac:dyDescent="0.35">
      <c r="A8" s="74"/>
      <c r="B8" s="279"/>
      <c r="C8" s="280" t="s">
        <v>1119</v>
      </c>
      <c r="D8" s="280"/>
      <c r="E8" s="281"/>
      <c r="F8" s="280" t="s">
        <v>1120</v>
      </c>
      <c r="G8" s="280"/>
      <c r="H8" s="281"/>
      <c r="I8" s="280" t="s">
        <v>1121</v>
      </c>
      <c r="J8" s="280"/>
      <c r="K8" s="281"/>
      <c r="M8" s="318" t="s">
        <v>840</v>
      </c>
      <c r="N8" s="280"/>
      <c r="O8" s="281"/>
      <c r="Q8" s="318" t="s">
        <v>840</v>
      </c>
      <c r="R8" s="280"/>
      <c r="S8" s="281"/>
      <c r="U8" s="396" t="s">
        <v>1122</v>
      </c>
      <c r="V8" s="395"/>
      <c r="W8" s="394"/>
    </row>
    <row r="9" spans="1:23" x14ac:dyDescent="0.35">
      <c r="A9" s="76"/>
      <c r="B9" s="77"/>
      <c r="C9" s="282" t="s">
        <v>12</v>
      </c>
      <c r="D9" s="282"/>
      <c r="E9" s="283"/>
      <c r="F9" s="282" t="s">
        <v>12</v>
      </c>
      <c r="G9" s="282"/>
      <c r="H9" s="283"/>
      <c r="I9" s="282" t="s">
        <v>12</v>
      </c>
      <c r="J9" s="282"/>
      <c r="K9" s="283"/>
      <c r="U9" s="393" t="s">
        <v>12</v>
      </c>
      <c r="V9" s="393"/>
      <c r="W9" s="392"/>
    </row>
    <row r="10" spans="1:23" x14ac:dyDescent="0.35">
      <c r="A10" s="76"/>
      <c r="B10" s="78"/>
      <c r="C10" s="47" t="s">
        <v>31</v>
      </c>
      <c r="D10" s="47"/>
      <c r="E10" s="284" t="s">
        <v>33</v>
      </c>
      <c r="F10" s="47" t="s">
        <v>31</v>
      </c>
      <c r="G10" s="47"/>
      <c r="H10" s="284" t="s">
        <v>37</v>
      </c>
      <c r="I10" s="47" t="s">
        <v>31</v>
      </c>
      <c r="J10" s="47"/>
      <c r="K10" s="284" t="s">
        <v>39</v>
      </c>
      <c r="N10" s="110" t="s">
        <v>864</v>
      </c>
      <c r="R10" s="110" t="s">
        <v>864</v>
      </c>
      <c r="U10" s="47" t="s">
        <v>31</v>
      </c>
      <c r="V10" s="47"/>
      <c r="W10" s="284" t="s">
        <v>39</v>
      </c>
    </row>
    <row r="11" spans="1:23" x14ac:dyDescent="0.35">
      <c r="A11" s="76"/>
      <c r="B11" s="78"/>
      <c r="C11" s="47" t="s">
        <v>40</v>
      </c>
      <c r="D11" s="47" t="s">
        <v>841</v>
      </c>
      <c r="E11" s="284" t="s">
        <v>842</v>
      </c>
      <c r="F11" s="47" t="s">
        <v>40</v>
      </c>
      <c r="G11" s="47" t="s">
        <v>841</v>
      </c>
      <c r="H11" s="284" t="s">
        <v>842</v>
      </c>
      <c r="I11" s="47" t="s">
        <v>40</v>
      </c>
      <c r="J11" s="47" t="s">
        <v>841</v>
      </c>
      <c r="K11" s="284" t="s">
        <v>842</v>
      </c>
      <c r="M11" s="110" t="s">
        <v>862</v>
      </c>
      <c r="N11" s="110" t="s">
        <v>862</v>
      </c>
      <c r="Q11" s="110" t="s">
        <v>862</v>
      </c>
      <c r="R11" s="110" t="s">
        <v>862</v>
      </c>
      <c r="U11" s="47" t="s">
        <v>40</v>
      </c>
      <c r="V11" s="47" t="s">
        <v>841</v>
      </c>
      <c r="W11" s="284" t="s">
        <v>842</v>
      </c>
    </row>
    <row r="12" spans="1:23" x14ac:dyDescent="0.35">
      <c r="A12" s="79" t="s">
        <v>7</v>
      </c>
      <c r="B12" s="80" t="s">
        <v>8</v>
      </c>
      <c r="C12" s="48" t="s">
        <v>33</v>
      </c>
      <c r="D12" s="48" t="s">
        <v>843</v>
      </c>
      <c r="E12" s="285" t="s">
        <v>843</v>
      </c>
      <c r="F12" s="48" t="s">
        <v>37</v>
      </c>
      <c r="G12" s="48" t="s">
        <v>843</v>
      </c>
      <c r="H12" s="285" t="s">
        <v>843</v>
      </c>
      <c r="I12" s="48" t="s">
        <v>39</v>
      </c>
      <c r="J12" s="48" t="s">
        <v>843</v>
      </c>
      <c r="K12" s="285" t="s">
        <v>843</v>
      </c>
      <c r="M12" s="110" t="s">
        <v>863</v>
      </c>
      <c r="N12" s="110" t="s">
        <v>863</v>
      </c>
      <c r="O12" s="110" t="s">
        <v>865</v>
      </c>
      <c r="Q12" s="110" t="s">
        <v>863</v>
      </c>
      <c r="R12" s="110" t="s">
        <v>863</v>
      </c>
      <c r="S12" s="110" t="s">
        <v>865</v>
      </c>
      <c r="U12" s="48" t="s">
        <v>39</v>
      </c>
      <c r="V12" s="48" t="s">
        <v>843</v>
      </c>
      <c r="W12" s="285" t="s">
        <v>843</v>
      </c>
    </row>
    <row r="13" spans="1:23" ht="26.5" x14ac:dyDescent="0.35">
      <c r="A13" s="81"/>
      <c r="B13" s="82"/>
      <c r="C13" s="286" t="str">
        <f>CONCATENATE("From Exh. SEF-4 page 1 column "&amp;VLOOKUP(COLUMN('Summary DPK-7 '!K1),'Named Ranges E'!$A$17:$B$569,2,FALSE))</f>
        <v>From Exh. SEF-4 page 1 column k</v>
      </c>
      <c r="D13" s="286"/>
      <c r="E13" s="287"/>
      <c r="F13" s="286" t="str">
        <f>CONCATENATE("From Exh. SEF-4 page 1 column "&amp;VLOOKUP(COLUMN('Summary DPK-7 '!M1),'Named Ranges E'!$A$17:$B$569,2,FALSE))</f>
        <v>From Exh. SEF-4 page 1 column m</v>
      </c>
      <c r="G13" s="286"/>
      <c r="H13" s="287"/>
      <c r="I13" s="286" t="str">
        <f>CONCATENATE("From Exh. SEF-4 page 1 column "&amp;VLOOKUP(COLUMN('Summary DPK-7 '!R1),'Named Ranges E'!$A$17:$B$569,2,FALSE))</f>
        <v>From Exh. SEF-4 page 1 column r</v>
      </c>
      <c r="J13" s="286"/>
      <c r="K13" s="287"/>
      <c r="U13" s="286" t="str">
        <f>CONCATENATE("From Exh. SEF-4 page 1 column "&amp;VLOOKUP(COLUMN('Summary DPK-7 '!I1),'Named Ranges E'!$A$17:$B$569,2,FALSE))</f>
        <v>From Exh. SEF-4 page 1 column i</v>
      </c>
      <c r="V13" s="286"/>
      <c r="W13" s="287"/>
    </row>
    <row r="14" spans="1:23" x14ac:dyDescent="0.35">
      <c r="A14" s="83">
        <f>ROW()</f>
        <v>14</v>
      </c>
      <c r="B14" s="77" t="s">
        <v>0</v>
      </c>
      <c r="C14" s="50"/>
      <c r="D14" s="50"/>
      <c r="E14" s="288"/>
      <c r="F14" s="50"/>
      <c r="G14" s="50"/>
      <c r="H14" s="288"/>
      <c r="I14" s="50"/>
      <c r="J14" s="50"/>
      <c r="K14" s="288"/>
      <c r="U14" s="50"/>
      <c r="V14" s="50"/>
      <c r="W14" s="288"/>
    </row>
    <row r="15" spans="1:23" x14ac:dyDescent="0.35">
      <c r="A15" s="83">
        <f>ROW()</f>
        <v>15</v>
      </c>
      <c r="B15" s="77" t="s">
        <v>48</v>
      </c>
      <c r="C15" s="92">
        <f>+'Summary DPK-7 '!K15</f>
        <v>550773649.72602034</v>
      </c>
      <c r="D15" s="92">
        <f>'Summary DPK-7 '!K65</f>
        <v>220104658.1433275</v>
      </c>
      <c r="E15" s="289">
        <f>SUM(C15:D15)</f>
        <v>770878307.86934781</v>
      </c>
      <c r="F15" s="92">
        <f>+'Summary DPK-7 '!M15</f>
        <v>550286906.72602034</v>
      </c>
      <c r="G15" s="92">
        <f>+'Summary DPK-7 '!M65</f>
        <v>235123464.88168135</v>
      </c>
      <c r="H15" s="289">
        <f>SUM(F15:G15)</f>
        <v>785410371.60770166</v>
      </c>
      <c r="I15" s="92">
        <f>+'Summary DPK-7 '!Q15</f>
        <v>0</v>
      </c>
      <c r="J15" s="92">
        <f>+'Summary DPK-7 '!Q65</f>
        <v>0</v>
      </c>
      <c r="K15" s="289">
        <f>SUM(I15:J15)</f>
        <v>0</v>
      </c>
      <c r="M15" s="317" t="e">
        <f>#REF!</f>
        <v>#REF!</v>
      </c>
      <c r="N15" s="317" t="e">
        <f>D15-M15</f>
        <v>#REF!</v>
      </c>
      <c r="O15" s="317" t="e">
        <f>SUM(M15:N15)</f>
        <v>#REF!</v>
      </c>
      <c r="Q15" s="317" t="e">
        <f>#REF!</f>
        <v>#REF!</v>
      </c>
      <c r="R15" s="242" t="e">
        <f>G15-Q15</f>
        <v>#REF!</v>
      </c>
      <c r="S15" s="317" t="e">
        <f>SUM(Q15:R15)</f>
        <v>#REF!</v>
      </c>
      <c r="U15" s="92">
        <f>'Summary DPK-7 '!I15</f>
        <v>554377915.72602034</v>
      </c>
      <c r="V15" s="92">
        <f>+'Summary DPK-7 '!I65</f>
        <v>114806283.11358272</v>
      </c>
      <c r="W15" s="289">
        <f>SUM(U15:V15)</f>
        <v>669184198.83960307</v>
      </c>
    </row>
    <row r="16" spans="1:23" x14ac:dyDescent="0.35">
      <c r="A16" s="83">
        <f>ROW()</f>
        <v>16</v>
      </c>
      <c r="B16" s="77" t="s">
        <v>49</v>
      </c>
      <c r="C16" s="56">
        <f>+'Summary DPK-7 '!K16</f>
        <v>0</v>
      </c>
      <c r="D16" s="56"/>
      <c r="E16" s="290">
        <f>SUM(C16:D16)</f>
        <v>0</v>
      </c>
      <c r="F16" s="56">
        <f>+'Summary DPK-7 '!M16</f>
        <v>0</v>
      </c>
      <c r="G16" s="56"/>
      <c r="H16" s="290">
        <f>SUM(F16:G16)</f>
        <v>0</v>
      </c>
      <c r="I16" s="56">
        <f>+'Summary DPK-7 '!Q16</f>
        <v>0</v>
      </c>
      <c r="J16" s="56"/>
      <c r="K16" s="290">
        <f>SUM(I16:J16)</f>
        <v>0</v>
      </c>
      <c r="U16" s="56">
        <f>'Summary DPK-7 '!I16</f>
        <v>0</v>
      </c>
      <c r="V16" s="56"/>
      <c r="W16" s="290">
        <f>SUM(U16:V16)</f>
        <v>0</v>
      </c>
    </row>
    <row r="17" spans="1:23" x14ac:dyDescent="0.35">
      <c r="A17" s="83">
        <f>ROW()</f>
        <v>17</v>
      </c>
      <c r="B17" s="77" t="s">
        <v>50</v>
      </c>
      <c r="C17" s="56">
        <f>+'Summary DPK-7 '!K17</f>
        <v>0</v>
      </c>
      <c r="D17" s="56"/>
      <c r="E17" s="290">
        <f>SUM(C17:D17)</f>
        <v>0</v>
      </c>
      <c r="F17" s="56">
        <f>+'Summary DPK-7 '!M17</f>
        <v>0</v>
      </c>
      <c r="G17" s="56"/>
      <c r="H17" s="290">
        <f>SUM(F17:G17)</f>
        <v>0</v>
      </c>
      <c r="I17" s="56">
        <f>+'Summary DPK-7 '!Q17</f>
        <v>0</v>
      </c>
      <c r="J17" s="56"/>
      <c r="K17" s="290">
        <f>SUM(I17:J17)</f>
        <v>0</v>
      </c>
      <c r="U17" s="56">
        <f>'Summary DPK-7 '!I17</f>
        <v>0</v>
      </c>
      <c r="V17" s="56"/>
      <c r="W17" s="290">
        <f>SUM(U17:V17)</f>
        <v>0</v>
      </c>
    </row>
    <row r="18" spans="1:23" x14ac:dyDescent="0.35">
      <c r="A18" s="83">
        <f>ROW()</f>
        <v>18</v>
      </c>
      <c r="B18" s="77" t="s">
        <v>51</v>
      </c>
      <c r="C18" s="56">
        <f>+'Summary DPK-7 '!K18</f>
        <v>-604789.78244638466</v>
      </c>
      <c r="D18" s="56"/>
      <c r="E18" s="290">
        <f>SUM(C18:D18)</f>
        <v>-604789.78244638466</v>
      </c>
      <c r="F18" s="56">
        <f>+'Summary DPK-7 '!M18</f>
        <v>2025672.6392991471</v>
      </c>
      <c r="G18" s="56"/>
      <c r="H18" s="290">
        <f>SUM(F18:G18)</f>
        <v>2025672.6392991471</v>
      </c>
      <c r="I18" s="56">
        <f>+'Summary DPK-7 '!Q18</f>
        <v>0</v>
      </c>
      <c r="J18" s="56"/>
      <c r="K18" s="290">
        <f>SUM(I18:J18)</f>
        <v>0</v>
      </c>
      <c r="U18" s="56">
        <f>'Summary DPK-7 '!I18</f>
        <v>-604789.78244638466</v>
      </c>
      <c r="V18" s="56"/>
      <c r="W18" s="290">
        <f>SUM(U18:V18)</f>
        <v>-604789.78244638466</v>
      </c>
    </row>
    <row r="19" spans="1:23" x14ac:dyDescent="0.35">
      <c r="A19" s="83">
        <f>ROW()</f>
        <v>19</v>
      </c>
      <c r="B19" s="84" t="s">
        <v>58</v>
      </c>
      <c r="C19" s="291">
        <f t="shared" ref="C19:K19" si="0">SUM(C15:C18)</f>
        <v>550168859.94357395</v>
      </c>
      <c r="D19" s="291">
        <f t="shared" si="0"/>
        <v>220104658.1433275</v>
      </c>
      <c r="E19" s="292">
        <f t="shared" si="0"/>
        <v>770273518.08690143</v>
      </c>
      <c r="F19" s="291">
        <f t="shared" si="0"/>
        <v>552312579.36531949</v>
      </c>
      <c r="G19" s="291">
        <f t="shared" si="0"/>
        <v>235123464.88168135</v>
      </c>
      <c r="H19" s="292">
        <f t="shared" si="0"/>
        <v>787436044.24700081</v>
      </c>
      <c r="I19" s="291">
        <f t="shared" si="0"/>
        <v>0</v>
      </c>
      <c r="J19" s="291">
        <f t="shared" si="0"/>
        <v>0</v>
      </c>
      <c r="K19" s="292">
        <f t="shared" si="0"/>
        <v>0</v>
      </c>
      <c r="M19" s="291" t="e">
        <f>SUM(M15:M18)</f>
        <v>#REF!</v>
      </c>
      <c r="N19" s="291" t="e">
        <f>SUM(N15:N18)</f>
        <v>#REF!</v>
      </c>
      <c r="O19" s="291" t="e">
        <f>SUM(O15:O18)</f>
        <v>#REF!</v>
      </c>
      <c r="Q19" s="291" t="e">
        <f>SUM(Q15:Q18)</f>
        <v>#REF!</v>
      </c>
      <c r="R19" s="291" t="e">
        <f>SUM(R15:R18)</f>
        <v>#REF!</v>
      </c>
      <c r="S19" s="291" t="e">
        <f>SUM(S15:S18)</f>
        <v>#REF!</v>
      </c>
      <c r="U19" s="391">
        <f>SUM(U15:U18)</f>
        <v>553773125.94357395</v>
      </c>
      <c r="V19" s="391">
        <f>SUM(V15:V18)</f>
        <v>114806283.11358272</v>
      </c>
      <c r="W19" s="390">
        <f>SUM(W15:W18)</f>
        <v>668579409.05715668</v>
      </c>
    </row>
    <row r="20" spans="1:23" x14ac:dyDescent="0.35">
      <c r="A20" s="83">
        <f>ROW()</f>
        <v>20</v>
      </c>
      <c r="B20" s="84"/>
      <c r="C20" s="50"/>
      <c r="D20" s="50"/>
      <c r="E20" s="288"/>
      <c r="F20" s="50"/>
      <c r="G20" s="50"/>
      <c r="H20" s="288"/>
      <c r="I20" s="50"/>
      <c r="J20" s="50"/>
      <c r="K20" s="288"/>
      <c r="U20" s="50"/>
      <c r="V20" s="50"/>
      <c r="W20" s="288"/>
    </row>
    <row r="21" spans="1:23" x14ac:dyDescent="0.35">
      <c r="A21" s="83">
        <f>ROW()</f>
        <v>21</v>
      </c>
      <c r="B21" s="84" t="s">
        <v>52</v>
      </c>
      <c r="C21" s="50"/>
      <c r="D21" s="50"/>
      <c r="E21" s="288"/>
      <c r="F21" s="50"/>
      <c r="G21" s="50"/>
      <c r="H21" s="288"/>
      <c r="I21" s="50"/>
      <c r="J21" s="50"/>
      <c r="K21" s="288"/>
      <c r="U21" s="50"/>
      <c r="V21" s="50"/>
      <c r="W21" s="288"/>
    </row>
    <row r="22" spans="1:23" x14ac:dyDescent="0.35">
      <c r="A22" s="83">
        <f>ROW()</f>
        <v>22</v>
      </c>
      <c r="B22" s="84"/>
      <c r="C22" s="50"/>
      <c r="D22" s="50"/>
      <c r="E22" s="288"/>
      <c r="F22" s="50"/>
      <c r="G22" s="50"/>
      <c r="H22" s="288"/>
      <c r="I22" s="50"/>
      <c r="J22" s="50"/>
      <c r="K22" s="288"/>
      <c r="U22" s="50"/>
      <c r="V22" s="50"/>
      <c r="W22" s="288"/>
    </row>
    <row r="23" spans="1:23" x14ac:dyDescent="0.35">
      <c r="A23" s="83">
        <f>ROW()</f>
        <v>23</v>
      </c>
      <c r="B23" s="84" t="s">
        <v>53</v>
      </c>
      <c r="C23" s="50"/>
      <c r="D23" s="50"/>
      <c r="E23" s="288"/>
      <c r="F23" s="50"/>
      <c r="G23" s="50"/>
      <c r="H23" s="288"/>
      <c r="I23" s="50"/>
      <c r="J23" s="50"/>
      <c r="K23" s="288"/>
      <c r="U23" s="50"/>
      <c r="V23" s="50"/>
      <c r="W23" s="288"/>
    </row>
    <row r="24" spans="1:23" x14ac:dyDescent="0.35">
      <c r="A24" s="83">
        <f>ROW()</f>
        <v>24</v>
      </c>
      <c r="B24" s="84" t="s">
        <v>54</v>
      </c>
      <c r="C24" s="56">
        <f>+'Summary DPK-7 '!K24</f>
        <v>0</v>
      </c>
      <c r="D24" s="56"/>
      <c r="E24" s="290">
        <f>SUM(C24:D24)</f>
        <v>0</v>
      </c>
      <c r="F24" s="56">
        <f>+'Summary DPK-7 '!M24</f>
        <v>0</v>
      </c>
      <c r="G24" s="56"/>
      <c r="H24" s="290">
        <f>SUM(F24:G24)</f>
        <v>0</v>
      </c>
      <c r="I24" s="56">
        <f>+'Summary DPK-7 '!Q24</f>
        <v>0</v>
      </c>
      <c r="J24" s="56"/>
      <c r="K24" s="290">
        <f>SUM(I24:J24)</f>
        <v>0</v>
      </c>
      <c r="U24" s="56">
        <f>'Summary DPK-7 '!I24</f>
        <v>0</v>
      </c>
      <c r="V24" s="56"/>
      <c r="W24" s="290">
        <f>SUM(U24:V24)</f>
        <v>0</v>
      </c>
    </row>
    <row r="25" spans="1:23" x14ac:dyDescent="0.35">
      <c r="A25" s="83">
        <f>ROW()</f>
        <v>25</v>
      </c>
      <c r="B25" s="84" t="s">
        <v>55</v>
      </c>
      <c r="C25" s="56">
        <f>+'Summary DPK-7 '!K25</f>
        <v>0</v>
      </c>
      <c r="D25" s="56"/>
      <c r="E25" s="290">
        <f>SUM(C25:D25)</f>
        <v>0</v>
      </c>
      <c r="F25" s="56">
        <f>+'Summary DPK-7 '!M25</f>
        <v>0</v>
      </c>
      <c r="G25" s="56"/>
      <c r="H25" s="290">
        <f>SUM(F25:G25)</f>
        <v>0</v>
      </c>
      <c r="I25" s="56">
        <f>+'Summary DPK-7 '!Q25</f>
        <v>0</v>
      </c>
      <c r="J25" s="56"/>
      <c r="K25" s="290">
        <f>SUM(I25:J25)</f>
        <v>0</v>
      </c>
      <c r="U25" s="56">
        <f>'Summary DPK-7 '!I25</f>
        <v>0</v>
      </c>
      <c r="V25" s="56"/>
      <c r="W25" s="290">
        <f>SUM(U25:V25)</f>
        <v>0</v>
      </c>
    </row>
    <row r="26" spans="1:23" x14ac:dyDescent="0.35">
      <c r="A26" s="83">
        <f>ROW()</f>
        <v>26</v>
      </c>
      <c r="B26" s="84" t="s">
        <v>56</v>
      </c>
      <c r="C26" s="56">
        <f>+'Summary DPK-7 '!K26</f>
        <v>0</v>
      </c>
      <c r="D26" s="56"/>
      <c r="E26" s="290">
        <f>SUM(C26:D26)</f>
        <v>0</v>
      </c>
      <c r="F26" s="56">
        <f>+'Summary DPK-7 '!M26</f>
        <v>0</v>
      </c>
      <c r="G26" s="56"/>
      <c r="H26" s="290">
        <f>SUM(F26:G26)</f>
        <v>0</v>
      </c>
      <c r="I26" s="56">
        <f>+'Summary DPK-7 '!Q26</f>
        <v>0</v>
      </c>
      <c r="J26" s="56"/>
      <c r="K26" s="290">
        <f>SUM(I26:J26)</f>
        <v>0</v>
      </c>
      <c r="U26" s="56">
        <f>'Summary DPK-7 '!I26</f>
        <v>0</v>
      </c>
      <c r="V26" s="56"/>
      <c r="W26" s="290">
        <f>SUM(U26:V26)</f>
        <v>0</v>
      </c>
    </row>
    <row r="27" spans="1:23" x14ac:dyDescent="0.35">
      <c r="A27" s="83">
        <f>ROW()</f>
        <v>27</v>
      </c>
      <c r="B27" s="84" t="s">
        <v>57</v>
      </c>
      <c r="C27" s="56">
        <f>+'Summary DPK-7 '!K27</f>
        <v>0</v>
      </c>
      <c r="D27" s="56"/>
      <c r="E27" s="290">
        <f>SUM(C27:D27)</f>
        <v>0</v>
      </c>
      <c r="F27" s="56">
        <f>+'Summary DPK-7 '!M27</f>
        <v>0</v>
      </c>
      <c r="G27" s="56"/>
      <c r="H27" s="290">
        <f>SUM(F27:G27)</f>
        <v>0</v>
      </c>
      <c r="I27" s="56">
        <f>+'Summary DPK-7 '!Q27</f>
        <v>0</v>
      </c>
      <c r="J27" s="56"/>
      <c r="K27" s="290">
        <f>SUM(I27:J27)</f>
        <v>0</v>
      </c>
      <c r="U27" s="56">
        <f>'Summary DPK-7 '!I27</f>
        <v>0</v>
      </c>
      <c r="V27" s="56"/>
      <c r="W27" s="290">
        <f>SUM(U27:V27)</f>
        <v>0</v>
      </c>
    </row>
    <row r="28" spans="1:23" x14ac:dyDescent="0.35">
      <c r="A28" s="83">
        <f>ROW()</f>
        <v>28</v>
      </c>
      <c r="B28" s="84" t="s">
        <v>1</v>
      </c>
      <c r="C28" s="293">
        <f t="shared" ref="C28:K28" si="1">SUM(C24:C27)</f>
        <v>0</v>
      </c>
      <c r="D28" s="293">
        <f t="shared" si="1"/>
        <v>0</v>
      </c>
      <c r="E28" s="294">
        <f t="shared" si="1"/>
        <v>0</v>
      </c>
      <c r="F28" s="293">
        <f t="shared" si="1"/>
        <v>0</v>
      </c>
      <c r="G28" s="293">
        <f t="shared" si="1"/>
        <v>0</v>
      </c>
      <c r="H28" s="294">
        <f t="shared" si="1"/>
        <v>0</v>
      </c>
      <c r="I28" s="293">
        <f t="shared" si="1"/>
        <v>0</v>
      </c>
      <c r="J28" s="293">
        <f t="shared" si="1"/>
        <v>0</v>
      </c>
      <c r="K28" s="294">
        <f t="shared" si="1"/>
        <v>0</v>
      </c>
      <c r="U28" s="389">
        <f>SUM(U24:U27)</f>
        <v>0</v>
      </c>
      <c r="V28" s="389">
        <f>SUM(V24:V27)</f>
        <v>0</v>
      </c>
      <c r="W28" s="388">
        <f>SUM(W24:W27)</f>
        <v>0</v>
      </c>
    </row>
    <row r="29" spans="1:23" x14ac:dyDescent="0.35">
      <c r="A29" s="83">
        <f>ROW()</f>
        <v>29</v>
      </c>
      <c r="B29" s="84"/>
      <c r="C29" s="105"/>
      <c r="D29" s="105"/>
      <c r="E29" s="295"/>
      <c r="F29" s="105"/>
      <c r="G29" s="105"/>
      <c r="H29" s="295"/>
      <c r="I29" s="105"/>
      <c r="J29" s="105"/>
      <c r="K29" s="295"/>
      <c r="U29" s="105"/>
      <c r="V29" s="105"/>
      <c r="W29" s="295"/>
    </row>
    <row r="30" spans="1:23" x14ac:dyDescent="0.35">
      <c r="A30" s="83">
        <f>ROW()</f>
        <v>30</v>
      </c>
      <c r="B30" s="84" t="s">
        <v>59</v>
      </c>
      <c r="C30" s="56">
        <f>+'Summary DPK-7 '!K30</f>
        <v>8236810.4740378801</v>
      </c>
      <c r="D30" s="56"/>
      <c r="E30" s="290">
        <f t="shared" ref="E30:E43" si="2">SUM(C30:D30)</f>
        <v>8236810.4740378801</v>
      </c>
      <c r="F30" s="56">
        <f>+'Summary DPK-7 '!M30</f>
        <v>8957908.7799719796</v>
      </c>
      <c r="G30" s="56"/>
      <c r="H30" s="290">
        <f t="shared" ref="H30:H43" si="3">SUM(F30:G30)</f>
        <v>8957908.7799719796</v>
      </c>
      <c r="I30" s="56">
        <f>+'Summary DPK-7 '!Q30</f>
        <v>0</v>
      </c>
      <c r="J30" s="56"/>
      <c r="K30" s="290">
        <f t="shared" ref="K30:K43" si="4">SUM(I30:J30)</f>
        <v>0</v>
      </c>
      <c r="U30" s="56">
        <f>'Summary DPK-7 '!I30</f>
        <v>7876060.1918395003</v>
      </c>
      <c r="V30" s="56"/>
      <c r="W30" s="290">
        <f t="shared" ref="W30:W43" si="5">SUM(U30:V30)</f>
        <v>7876060.1918395003</v>
      </c>
    </row>
    <row r="31" spans="1:23" x14ac:dyDescent="0.35">
      <c r="A31" s="83">
        <f>ROW()</f>
        <v>31</v>
      </c>
      <c r="B31" s="84" t="s">
        <v>60</v>
      </c>
      <c r="C31" s="56">
        <f>+'Summary DPK-7 '!K31</f>
        <v>0</v>
      </c>
      <c r="D31" s="56"/>
      <c r="E31" s="290">
        <f t="shared" si="2"/>
        <v>0</v>
      </c>
      <c r="F31" s="56">
        <f>+'Summary DPK-7 '!M31</f>
        <v>0</v>
      </c>
      <c r="G31" s="56"/>
      <c r="H31" s="290">
        <f t="shared" si="3"/>
        <v>0</v>
      </c>
      <c r="I31" s="56">
        <f>+'Summary DPK-7 '!Q31</f>
        <v>0</v>
      </c>
      <c r="J31" s="56"/>
      <c r="K31" s="290">
        <f t="shared" si="4"/>
        <v>0</v>
      </c>
      <c r="U31" s="56">
        <f>'Summary DPK-7 '!I31</f>
        <v>0</v>
      </c>
      <c r="V31" s="56"/>
      <c r="W31" s="290">
        <f t="shared" si="5"/>
        <v>0</v>
      </c>
    </row>
    <row r="32" spans="1:23" x14ac:dyDescent="0.35">
      <c r="A32" s="83">
        <f>ROW()</f>
        <v>32</v>
      </c>
      <c r="B32" s="84" t="s">
        <v>61</v>
      </c>
      <c r="C32" s="56">
        <f>+'Summary DPK-7 '!K32</f>
        <v>88682038.861851916</v>
      </c>
      <c r="D32" s="56"/>
      <c r="E32" s="290">
        <f t="shared" si="2"/>
        <v>88682038.861851916</v>
      </c>
      <c r="F32" s="56">
        <f>+'Summary DPK-7 '!M32</f>
        <v>87640380.617635235</v>
      </c>
      <c r="G32" s="56"/>
      <c r="H32" s="290">
        <f t="shared" si="3"/>
        <v>87640380.617635235</v>
      </c>
      <c r="I32" s="56">
        <f>+'Summary DPK-7 '!Q32</f>
        <v>0</v>
      </c>
      <c r="J32" s="56"/>
      <c r="K32" s="290">
        <f t="shared" si="4"/>
        <v>0</v>
      </c>
      <c r="U32" s="56">
        <f>'Summary DPK-7 '!I32</f>
        <v>64491416.290939584</v>
      </c>
      <c r="V32" s="56"/>
      <c r="W32" s="290">
        <f t="shared" si="5"/>
        <v>64491416.290939584</v>
      </c>
    </row>
    <row r="33" spans="1:23" x14ac:dyDescent="0.35">
      <c r="A33" s="83">
        <f>ROW()</f>
        <v>33</v>
      </c>
      <c r="B33" s="84" t="s">
        <v>62</v>
      </c>
      <c r="C33" s="56">
        <f>+'Summary DPK-7 '!K33</f>
        <v>16327197.647432098</v>
      </c>
      <c r="D33" s="56">
        <f>'Def, COC, ConvF DPK-7 '!$P$12*D19</f>
        <v>636322.56669235975</v>
      </c>
      <c r="E33" s="290">
        <f t="shared" si="2"/>
        <v>16963520.214124456</v>
      </c>
      <c r="F33" s="56">
        <f>+'Summary DPK-7 '!M33</f>
        <v>14942384.084657842</v>
      </c>
      <c r="G33" s="56">
        <f>'Def, COC, ConvF DPK-7 '!$P$12*G19</f>
        <v>679741.93697294081</v>
      </c>
      <c r="H33" s="290">
        <f t="shared" si="3"/>
        <v>15622126.021630783</v>
      </c>
      <c r="I33" s="56">
        <f>+'Summary DPK-7 '!Q33</f>
        <v>0</v>
      </c>
      <c r="J33" s="56">
        <f>'Def, COC, ConvF DPK-7 '!$P$12*J19</f>
        <v>0</v>
      </c>
      <c r="K33" s="290">
        <f t="shared" si="4"/>
        <v>0</v>
      </c>
      <c r="M33" s="242" t="e">
        <f>M15*'Def, COC, ConvF DPK-7 '!P12</f>
        <v>#REF!</v>
      </c>
      <c r="N33" s="242" t="e">
        <f>D33-M33</f>
        <v>#REF!</v>
      </c>
      <c r="O33" s="317" t="e">
        <f>SUM(M33:N33)</f>
        <v>#REF!</v>
      </c>
      <c r="Q33" s="242" t="e">
        <f>Q15*'Def, COC, ConvF DPK-7 '!P12</f>
        <v>#REF!</v>
      </c>
      <c r="R33" s="242" t="e">
        <f t="shared" ref="R33:R42" si="6">G33-Q33</f>
        <v>#REF!</v>
      </c>
      <c r="S33" s="317" t="e">
        <f>SUM(Q33:R33)</f>
        <v>#REF!</v>
      </c>
      <c r="U33" s="56">
        <f>'Summary DPK-7 '!I33</f>
        <v>23502556.576534674</v>
      </c>
      <c r="V33" s="56">
        <f>'Def, COC, ConvF DPK-7 '!$P$12*V19</f>
        <v>331904.96448136761</v>
      </c>
      <c r="W33" s="290">
        <f t="shared" si="5"/>
        <v>23834461.541016042</v>
      </c>
    </row>
    <row r="34" spans="1:23" x14ac:dyDescent="0.35">
      <c r="A34" s="83">
        <f>ROW()</f>
        <v>34</v>
      </c>
      <c r="B34" s="84" t="s">
        <v>63</v>
      </c>
      <c r="C34" s="56">
        <f>+'Summary DPK-7 '!K34</f>
        <v>1875042.5248052441</v>
      </c>
      <c r="D34" s="56"/>
      <c r="E34" s="290">
        <f t="shared" si="2"/>
        <v>1875042.5248052441</v>
      </c>
      <c r="F34" s="56">
        <f>+'Summary DPK-7 '!M34</f>
        <v>1813761.7239987077</v>
      </c>
      <c r="G34" s="56"/>
      <c r="H34" s="290">
        <f t="shared" si="3"/>
        <v>1813761.7239987077</v>
      </c>
      <c r="I34" s="56">
        <f>+'Summary DPK-7 '!Q34</f>
        <v>0</v>
      </c>
      <c r="J34" s="56"/>
      <c r="K34" s="290">
        <f t="shared" si="4"/>
        <v>0</v>
      </c>
      <c r="M34" s="242"/>
      <c r="N34" s="242"/>
      <c r="O34" s="242"/>
      <c r="Q34" s="242"/>
      <c r="R34" s="242">
        <f t="shared" si="6"/>
        <v>0</v>
      </c>
      <c r="S34" s="242"/>
      <c r="U34" s="56">
        <f>'Summary DPK-7 '!I34</f>
        <v>2401812.2597524063</v>
      </c>
      <c r="V34" s="56"/>
      <c r="W34" s="290">
        <f t="shared" si="5"/>
        <v>2401812.2597524063</v>
      </c>
    </row>
    <row r="35" spans="1:23" x14ac:dyDescent="0.35">
      <c r="A35" s="83">
        <f>ROW()</f>
        <v>35</v>
      </c>
      <c r="B35" s="84" t="s">
        <v>64</v>
      </c>
      <c r="C35" s="56">
        <f>+'Summary DPK-7 '!K35</f>
        <v>0</v>
      </c>
      <c r="D35" s="56"/>
      <c r="E35" s="290">
        <f t="shared" si="2"/>
        <v>0</v>
      </c>
      <c r="F35" s="56">
        <f>+'Summary DPK-7 '!M35</f>
        <v>0</v>
      </c>
      <c r="G35" s="56"/>
      <c r="H35" s="290">
        <f t="shared" si="3"/>
        <v>0</v>
      </c>
      <c r="I35" s="56">
        <f>+'Summary DPK-7 '!Q35</f>
        <v>0</v>
      </c>
      <c r="J35" s="56"/>
      <c r="K35" s="290">
        <f t="shared" si="4"/>
        <v>0</v>
      </c>
      <c r="M35" s="242"/>
      <c r="N35" s="242"/>
      <c r="O35" s="242"/>
      <c r="Q35" s="242"/>
      <c r="R35" s="242">
        <f t="shared" si="6"/>
        <v>0</v>
      </c>
      <c r="S35" s="242"/>
      <c r="U35" s="56">
        <f>'Summary DPK-7 '!I35</f>
        <v>0</v>
      </c>
      <c r="V35" s="56"/>
      <c r="W35" s="290">
        <f t="shared" si="5"/>
        <v>0</v>
      </c>
    </row>
    <row r="36" spans="1:23" x14ac:dyDescent="0.35">
      <c r="A36" s="83">
        <f>ROW()</f>
        <v>36</v>
      </c>
      <c r="B36" s="84" t="s">
        <v>65</v>
      </c>
      <c r="C36" s="56">
        <f>+'Summary DPK-7 '!K36</f>
        <v>63689240.129760116</v>
      </c>
      <c r="D36" s="56">
        <f>'Def, COC, ConvF DPK-7 '!$P$13*D19</f>
        <v>880418.63257331005</v>
      </c>
      <c r="E36" s="290">
        <f t="shared" si="2"/>
        <v>64569658.762333423</v>
      </c>
      <c r="F36" s="56">
        <f>+'Summary DPK-7 '!M36</f>
        <v>70990816.660752922</v>
      </c>
      <c r="G36" s="56">
        <f>'Def, COC, ConvF DPK-7 '!$P$13*G19</f>
        <v>940493.85952672549</v>
      </c>
      <c r="H36" s="290">
        <f t="shared" si="3"/>
        <v>71931310.520279646</v>
      </c>
      <c r="I36" s="56">
        <f>+'Summary DPK-7 '!Q36</f>
        <v>0</v>
      </c>
      <c r="J36" s="56">
        <f>'Def, COC, ConvF DPK-7 '!$P$13*J19</f>
        <v>0</v>
      </c>
      <c r="K36" s="290">
        <f t="shared" si="4"/>
        <v>0</v>
      </c>
      <c r="M36" s="242" t="e">
        <f>M15*'Def, COC, ConvF DPK-7 '!P13</f>
        <v>#REF!</v>
      </c>
      <c r="N36" s="242" t="e">
        <f>D36-M36</f>
        <v>#REF!</v>
      </c>
      <c r="O36" s="317" t="e">
        <f>SUM(M36:N36)</f>
        <v>#REF!</v>
      </c>
      <c r="Q36" s="242" t="e">
        <f>Q15*'Def, COC, ConvF DPK-7 '!P13</f>
        <v>#REF!</v>
      </c>
      <c r="R36" s="242" t="e">
        <f t="shared" si="6"/>
        <v>#REF!</v>
      </c>
      <c r="S36" s="317" t="e">
        <f>SUM(Q36:R36)</f>
        <v>#REF!</v>
      </c>
      <c r="U36" s="56">
        <f>'Summary DPK-7 '!I36</f>
        <v>73987598.062147081</v>
      </c>
      <c r="V36" s="56">
        <f>'Def, COC, ConvF DPK-7 '!$P$13*V19</f>
        <v>459225.13245433086</v>
      </c>
      <c r="W36" s="290">
        <f t="shared" si="5"/>
        <v>74446823.194601417</v>
      </c>
    </row>
    <row r="37" spans="1:23" x14ac:dyDescent="0.35">
      <c r="A37" s="83">
        <f>ROW()</f>
        <v>37</v>
      </c>
      <c r="B37" s="84" t="s">
        <v>66</v>
      </c>
      <c r="C37" s="56">
        <f>+'Summary DPK-7 '!K37</f>
        <v>261594800.04505476</v>
      </c>
      <c r="D37" s="56"/>
      <c r="E37" s="290">
        <f t="shared" si="2"/>
        <v>261594800.04505476</v>
      </c>
      <c r="F37" s="56">
        <f>+'Summary DPK-7 '!M37</f>
        <v>266884231.95157474</v>
      </c>
      <c r="G37" s="56"/>
      <c r="H37" s="290">
        <f t="shared" si="3"/>
        <v>266884231.95157474</v>
      </c>
      <c r="I37" s="56">
        <f>+'Summary DPK-7 '!Q37</f>
        <v>0</v>
      </c>
      <c r="J37" s="56"/>
      <c r="K37" s="290">
        <f t="shared" si="4"/>
        <v>0</v>
      </c>
      <c r="M37" s="242" t="e">
        <f>-#REF!</f>
        <v>#REF!</v>
      </c>
      <c r="N37" s="242" t="e">
        <f>D37-M37</f>
        <v>#REF!</v>
      </c>
      <c r="O37" s="317" t="e">
        <f>SUM(M37:N37)</f>
        <v>#REF!</v>
      </c>
      <c r="Q37" s="242" t="e">
        <f>-#REF!</f>
        <v>#REF!</v>
      </c>
      <c r="R37" s="242" t="e">
        <f t="shared" si="6"/>
        <v>#REF!</v>
      </c>
      <c r="S37" s="317" t="e">
        <f>SUM(Q37:R37)</f>
        <v>#REF!</v>
      </c>
      <c r="U37" s="56">
        <f>'Summary DPK-7 '!I37</f>
        <v>176765994.47247931</v>
      </c>
      <c r="V37" s="56"/>
      <c r="W37" s="290">
        <f t="shared" si="5"/>
        <v>176765994.47247931</v>
      </c>
    </row>
    <row r="38" spans="1:23" x14ac:dyDescent="0.35">
      <c r="A38" s="83">
        <f>ROW()</f>
        <v>38</v>
      </c>
      <c r="B38" s="84" t="s">
        <v>67</v>
      </c>
      <c r="C38" s="56">
        <f>+'Summary DPK-7 '!K38</f>
        <v>36379318.171449929</v>
      </c>
      <c r="D38" s="56"/>
      <c r="E38" s="290">
        <f t="shared" si="2"/>
        <v>36379318.171449929</v>
      </c>
      <c r="F38" s="56">
        <f>+'Summary DPK-7 '!M38</f>
        <v>42036666.70026996</v>
      </c>
      <c r="G38" s="56"/>
      <c r="H38" s="290">
        <f t="shared" si="3"/>
        <v>42036666.70026996</v>
      </c>
      <c r="I38" s="56">
        <f>+'Summary DPK-7 '!Q38</f>
        <v>0</v>
      </c>
      <c r="J38" s="56"/>
      <c r="K38" s="290">
        <f t="shared" si="4"/>
        <v>0</v>
      </c>
      <c r="M38" s="242"/>
      <c r="N38" s="242"/>
      <c r="O38" s="242"/>
      <c r="Q38" s="242"/>
      <c r="R38" s="242">
        <f t="shared" si="6"/>
        <v>0</v>
      </c>
      <c r="S38" s="242"/>
      <c r="U38" s="56">
        <f>'Summary DPK-7 '!I38</f>
        <v>30160635.290589862</v>
      </c>
      <c r="V38" s="56"/>
      <c r="W38" s="290">
        <f t="shared" si="5"/>
        <v>30160635.290589862</v>
      </c>
    </row>
    <row r="39" spans="1:23" x14ac:dyDescent="0.35">
      <c r="A39" s="83">
        <f>ROW()</f>
        <v>39</v>
      </c>
      <c r="B39" s="84" t="s">
        <v>68</v>
      </c>
      <c r="C39" s="56">
        <f>+'Summary DPK-7 '!K39</f>
        <v>0</v>
      </c>
      <c r="D39" s="56"/>
      <c r="E39" s="290">
        <f t="shared" si="2"/>
        <v>0</v>
      </c>
      <c r="F39" s="56">
        <f>+'Summary DPK-7 '!M39</f>
        <v>0</v>
      </c>
      <c r="G39" s="56"/>
      <c r="H39" s="290">
        <f t="shared" si="3"/>
        <v>0</v>
      </c>
      <c r="I39" s="56">
        <f>+'Summary DPK-7 '!Q39</f>
        <v>0</v>
      </c>
      <c r="J39" s="56"/>
      <c r="K39" s="290">
        <f t="shared" si="4"/>
        <v>0</v>
      </c>
      <c r="M39" s="242"/>
      <c r="N39" s="242"/>
      <c r="O39" s="242"/>
      <c r="Q39" s="242"/>
      <c r="R39" s="242">
        <f t="shared" si="6"/>
        <v>0</v>
      </c>
      <c r="S39" s="242"/>
      <c r="U39" s="56">
        <f>'Summary DPK-7 '!I39</f>
        <v>0</v>
      </c>
      <c r="V39" s="56"/>
      <c r="W39" s="290">
        <f t="shared" si="5"/>
        <v>0</v>
      </c>
    </row>
    <row r="40" spans="1:23" x14ac:dyDescent="0.35">
      <c r="A40" s="83">
        <f>ROW()</f>
        <v>40</v>
      </c>
      <c r="B40" s="84" t="s">
        <v>69</v>
      </c>
      <c r="C40" s="56">
        <f>+'Summary DPK-7 '!K40</f>
        <v>24708100.678042449</v>
      </c>
      <c r="D40" s="56"/>
      <c r="E40" s="290">
        <f t="shared" si="2"/>
        <v>24708100.678042449</v>
      </c>
      <c r="F40" s="56">
        <f>+'Summary DPK-7 '!M40</f>
        <v>21735348.750474725</v>
      </c>
      <c r="G40" s="56"/>
      <c r="H40" s="290">
        <f t="shared" si="3"/>
        <v>21735348.750474725</v>
      </c>
      <c r="I40" s="56">
        <f>+'Summary DPK-7 '!Q40</f>
        <v>0</v>
      </c>
      <c r="J40" s="56"/>
      <c r="K40" s="290">
        <f t="shared" si="4"/>
        <v>0</v>
      </c>
      <c r="M40" s="242"/>
      <c r="N40" s="242"/>
      <c r="O40" s="242"/>
      <c r="Q40" s="242"/>
      <c r="R40" s="242">
        <f t="shared" si="6"/>
        <v>0</v>
      </c>
      <c r="S40" s="242"/>
      <c r="U40" s="56">
        <f>'Summary DPK-7 '!I40</f>
        <v>15450871.185612418</v>
      </c>
      <c r="V40" s="56"/>
      <c r="W40" s="290">
        <f t="shared" si="5"/>
        <v>15450871.185612418</v>
      </c>
    </row>
    <row r="41" spans="1:23" x14ac:dyDescent="0.35">
      <c r="A41" s="83">
        <f>ROW()</f>
        <v>41</v>
      </c>
      <c r="B41" s="84" t="s">
        <v>70</v>
      </c>
      <c r="C41" s="56">
        <f>+'Summary DPK-7 '!K41</f>
        <v>24258785.916667935</v>
      </c>
      <c r="D41" s="56">
        <f>'Def, COC, ConvF DPK-7 '!$P$14*D19</f>
        <v>8453999.8146270663</v>
      </c>
      <c r="E41" s="290">
        <f t="shared" si="2"/>
        <v>32712785.731295001</v>
      </c>
      <c r="F41" s="56">
        <f>+'Summary DPK-7 '!M41</f>
        <v>26430544.758567855</v>
      </c>
      <c r="G41" s="56">
        <f>'Def, COC, ConvF DPK-7 '!$P$14*G19</f>
        <v>9030857.162640499</v>
      </c>
      <c r="H41" s="290">
        <f t="shared" si="3"/>
        <v>35461401.921208352</v>
      </c>
      <c r="I41" s="56">
        <f>+'Summary DPK-7 '!Q41</f>
        <v>0</v>
      </c>
      <c r="J41" s="56">
        <f>'Def, COC, ConvF DPK-7 '!$P$14*J19</f>
        <v>0</v>
      </c>
      <c r="K41" s="290">
        <f t="shared" si="4"/>
        <v>0</v>
      </c>
      <c r="M41" s="242" t="e">
        <f>M15*'Def, COC, ConvF DPK-7 '!P14</f>
        <v>#REF!</v>
      </c>
      <c r="N41" s="242" t="e">
        <f>D41-M41</f>
        <v>#REF!</v>
      </c>
      <c r="O41" s="317" t="e">
        <f>SUM(M41:N41)</f>
        <v>#REF!</v>
      </c>
      <c r="Q41" s="242" t="e">
        <f>Q15*'Def, COC, ConvF DPK-7 '!P14</f>
        <v>#REF!</v>
      </c>
      <c r="R41" s="242" t="e">
        <f t="shared" si="6"/>
        <v>#REF!</v>
      </c>
      <c r="S41" s="317" t="e">
        <f>SUM(Q41:R41)</f>
        <v>#REF!</v>
      </c>
      <c r="U41" s="56">
        <f>'Summary DPK-7 '!I41</f>
        <v>26303078.738929383</v>
      </c>
      <c r="V41" s="56">
        <f>'Def, COC, ConvF DPK-7 '!$P$14*V19</f>
        <v>4409594.528109598</v>
      </c>
      <c r="W41" s="290">
        <f t="shared" si="5"/>
        <v>30712673.267038982</v>
      </c>
    </row>
    <row r="42" spans="1:23" x14ac:dyDescent="0.35">
      <c r="A42" s="83">
        <f>ROW()</f>
        <v>42</v>
      </c>
      <c r="B42" s="84" t="s">
        <v>71</v>
      </c>
      <c r="C42" s="56">
        <f>+'Summary DPK-7 '!K42</f>
        <v>-9557419.2651374452</v>
      </c>
      <c r="D42" s="56">
        <f>'Def, COC, ConvF DPK-7 '!$P$19*D19</f>
        <v>44128122.597181298</v>
      </c>
      <c r="E42" s="290">
        <f t="shared" si="2"/>
        <v>34570703.332043856</v>
      </c>
      <c r="F42" s="56">
        <f>+'Summary DPK-7 '!M42</f>
        <v>-11691955.68784081</v>
      </c>
      <c r="G42" s="56">
        <f>'Def, COC, ConvF DPK-7 '!$P$19*G19</f>
        <v>47139198.103733651</v>
      </c>
      <c r="H42" s="290">
        <f t="shared" si="3"/>
        <v>35447242.415892839</v>
      </c>
      <c r="I42" s="56">
        <f>+'Summary DPK-7 '!Q42</f>
        <v>0</v>
      </c>
      <c r="J42" s="56">
        <f>'Def, COC, ConvF DPK-7 '!$P$19*J19</f>
        <v>0</v>
      </c>
      <c r="K42" s="290">
        <f t="shared" si="4"/>
        <v>0</v>
      </c>
      <c r="M42" s="242"/>
      <c r="N42" s="242">
        <f>D42-M42</f>
        <v>44128122.597181298</v>
      </c>
      <c r="O42" s="317">
        <f>SUM(M42:N42)</f>
        <v>44128122.597181298</v>
      </c>
      <c r="Q42" s="242"/>
      <c r="R42" s="242">
        <f t="shared" si="6"/>
        <v>47139198.103733651</v>
      </c>
      <c r="S42" s="317">
        <f>SUM(Q42:R42)</f>
        <v>47139198.103733651</v>
      </c>
      <c r="U42" s="56">
        <f>'Summary DPK-7 '!I42</f>
        <v>12933859.88286794</v>
      </c>
      <c r="V42" s="56">
        <f>'Def, COC, ConvF DPK-7 '!$P$19*V19</f>
        <v>23017167.282592859</v>
      </c>
      <c r="W42" s="290">
        <f t="shared" si="5"/>
        <v>35951027.165460795</v>
      </c>
    </row>
    <row r="43" spans="1:23" x14ac:dyDescent="0.35">
      <c r="A43" s="83">
        <f>ROW()</f>
        <v>43</v>
      </c>
      <c r="B43" s="84" t="s">
        <v>72</v>
      </c>
      <c r="C43" s="56">
        <f>+'Summary DPK-7 '!K43</f>
        <v>-10922291.989409678</v>
      </c>
      <c r="D43" s="56"/>
      <c r="E43" s="290">
        <f t="shared" si="2"/>
        <v>-10922291.989409678</v>
      </c>
      <c r="F43" s="56">
        <f>+'Summary DPK-7 '!M43</f>
        <v>-11106890.586009614</v>
      </c>
      <c r="G43" s="56"/>
      <c r="H43" s="290">
        <f t="shared" si="3"/>
        <v>-11106890.586009614</v>
      </c>
      <c r="I43" s="56">
        <f>+'Summary DPK-7 '!Q43</f>
        <v>0</v>
      </c>
      <c r="J43" s="56"/>
      <c r="K43" s="290">
        <f t="shared" si="4"/>
        <v>0</v>
      </c>
      <c r="U43" s="56">
        <f>'Summary DPK-7 '!I43</f>
        <v>-6938006.5860653091</v>
      </c>
      <c r="V43" s="56"/>
      <c r="W43" s="290">
        <f t="shared" si="5"/>
        <v>-6938006.5860653091</v>
      </c>
    </row>
    <row r="44" spans="1:23" x14ac:dyDescent="0.35">
      <c r="A44" s="83">
        <f>ROW()</f>
        <v>44</v>
      </c>
      <c r="B44" s="84" t="s">
        <v>3</v>
      </c>
      <c r="C44" s="52">
        <f t="shared" ref="C44:K44" si="7">SUM(C30:C43)</f>
        <v>505271623.19455522</v>
      </c>
      <c r="D44" s="52">
        <f t="shared" si="7"/>
        <v>54098863.61107403</v>
      </c>
      <c r="E44" s="296">
        <f t="shared" si="7"/>
        <v>559370486.80562925</v>
      </c>
      <c r="F44" s="52">
        <f t="shared" si="7"/>
        <v>518633197.75405347</v>
      </c>
      <c r="G44" s="52">
        <f t="shared" si="7"/>
        <v>57790291.062873818</v>
      </c>
      <c r="H44" s="296">
        <f t="shared" si="7"/>
        <v>576423488.81692731</v>
      </c>
      <c r="I44" s="52">
        <f t="shared" si="7"/>
        <v>0</v>
      </c>
      <c r="J44" s="52">
        <f t="shared" si="7"/>
        <v>0</v>
      </c>
      <c r="K44" s="296">
        <f t="shared" si="7"/>
        <v>0</v>
      </c>
      <c r="M44" s="52" t="e">
        <f>SUM(M30:M43)</f>
        <v>#REF!</v>
      </c>
      <c r="N44" s="52" t="e">
        <f>SUM(N30:N43)</f>
        <v>#REF!</v>
      </c>
      <c r="O44" s="52" t="e">
        <f>SUM(O30:O43)</f>
        <v>#REF!</v>
      </c>
      <c r="Q44" s="52" t="e">
        <f>SUM(Q30:Q43)</f>
        <v>#REF!</v>
      </c>
      <c r="R44" s="52" t="e">
        <f>SUM(R30:R43)</f>
        <v>#REF!</v>
      </c>
      <c r="S44" s="52" t="e">
        <f>SUM(S30:S43)</f>
        <v>#REF!</v>
      </c>
      <c r="U44" s="52">
        <f>SUM(U30:U43)</f>
        <v>426935876.36562687</v>
      </c>
      <c r="V44" s="52">
        <f>SUM(V30:V43)</f>
        <v>28217891.907638155</v>
      </c>
      <c r="W44" s="296">
        <f>SUM(W30:W43)</f>
        <v>455153768.27326512</v>
      </c>
    </row>
    <row r="45" spans="1:23" x14ac:dyDescent="0.35">
      <c r="A45" s="83">
        <f>ROW()</f>
        <v>45</v>
      </c>
      <c r="B45" s="84" t="s">
        <v>2</v>
      </c>
      <c r="C45" s="52">
        <f t="shared" ref="C45:K45" si="8">C28+C44</f>
        <v>505271623.19455522</v>
      </c>
      <c r="D45" s="52">
        <f t="shared" si="8"/>
        <v>54098863.61107403</v>
      </c>
      <c r="E45" s="296">
        <f t="shared" si="8"/>
        <v>559370486.80562925</v>
      </c>
      <c r="F45" s="52">
        <f t="shared" si="8"/>
        <v>518633197.75405347</v>
      </c>
      <c r="G45" s="52">
        <f t="shared" si="8"/>
        <v>57790291.062873818</v>
      </c>
      <c r="H45" s="296">
        <f t="shared" si="8"/>
        <v>576423488.81692731</v>
      </c>
      <c r="I45" s="52">
        <f t="shared" si="8"/>
        <v>0</v>
      </c>
      <c r="J45" s="52">
        <f t="shared" si="8"/>
        <v>0</v>
      </c>
      <c r="K45" s="296">
        <f t="shared" si="8"/>
        <v>0</v>
      </c>
      <c r="M45" s="52" t="e">
        <f>M28+M44</f>
        <v>#REF!</v>
      </c>
      <c r="N45" s="52" t="e">
        <f>N28+N44</f>
        <v>#REF!</v>
      </c>
      <c r="O45" s="52" t="e">
        <f>O28+O44</f>
        <v>#REF!</v>
      </c>
      <c r="Q45" s="52" t="e">
        <f>Q28+Q44</f>
        <v>#REF!</v>
      </c>
      <c r="R45" s="52" t="e">
        <f>R28+R44</f>
        <v>#REF!</v>
      </c>
      <c r="S45" s="52" t="e">
        <f>S28+S44</f>
        <v>#REF!</v>
      </c>
      <c r="U45" s="52">
        <f>U28+U44</f>
        <v>426935876.36562687</v>
      </c>
      <c r="V45" s="52">
        <f>V28+V44</f>
        <v>28217891.907638155</v>
      </c>
      <c r="W45" s="296">
        <f>W28+W44</f>
        <v>455153768.27326512</v>
      </c>
    </row>
    <row r="46" spans="1:23" x14ac:dyDescent="0.35">
      <c r="A46" s="83">
        <f>ROW()</f>
        <v>46</v>
      </c>
      <c r="B46" s="77"/>
      <c r="C46" s="297"/>
      <c r="D46" s="297"/>
      <c r="E46" s="298"/>
      <c r="F46" s="297"/>
      <c r="G46" s="297"/>
      <c r="H46" s="298"/>
      <c r="I46" s="297"/>
      <c r="J46" s="297"/>
      <c r="K46" s="298"/>
      <c r="M46" s="297"/>
      <c r="N46" s="297"/>
      <c r="O46" s="297"/>
      <c r="Q46" s="297"/>
      <c r="R46" s="297"/>
      <c r="S46" s="297"/>
      <c r="U46" s="387"/>
      <c r="V46" s="387"/>
      <c r="W46" s="386"/>
    </row>
    <row r="47" spans="1:23" ht="15" thickBot="1" x14ac:dyDescent="0.4">
      <c r="A47" s="83">
        <f>ROW()</f>
        <v>47</v>
      </c>
      <c r="B47" s="85" t="s">
        <v>4</v>
      </c>
      <c r="C47" s="53">
        <f t="shared" ref="C47:K47" si="9">C19-C45</f>
        <v>44897236.749018729</v>
      </c>
      <c r="D47" s="53">
        <f t="shared" si="9"/>
        <v>166005794.53225347</v>
      </c>
      <c r="E47" s="299">
        <f t="shared" si="9"/>
        <v>210903031.28127217</v>
      </c>
      <c r="F47" s="53">
        <f t="shared" si="9"/>
        <v>33679381.611266017</v>
      </c>
      <c r="G47" s="53">
        <f t="shared" si="9"/>
        <v>177333173.81880754</v>
      </c>
      <c r="H47" s="299">
        <f t="shared" si="9"/>
        <v>211012555.4300735</v>
      </c>
      <c r="I47" s="53">
        <f t="shared" si="9"/>
        <v>0</v>
      </c>
      <c r="J47" s="53">
        <f t="shared" si="9"/>
        <v>0</v>
      </c>
      <c r="K47" s="299">
        <f t="shared" si="9"/>
        <v>0</v>
      </c>
      <c r="M47" s="53" t="e">
        <f>M19-M45</f>
        <v>#REF!</v>
      </c>
      <c r="N47" s="53" t="e">
        <f>N19-N45</f>
        <v>#REF!</v>
      </c>
      <c r="O47" s="53" t="e">
        <f>O19-O45</f>
        <v>#REF!</v>
      </c>
      <c r="Q47" s="53" t="e">
        <f>Q19-Q45</f>
        <v>#REF!</v>
      </c>
      <c r="R47" s="53" t="e">
        <f>R19-R45</f>
        <v>#REF!</v>
      </c>
      <c r="S47" s="53" t="e">
        <f>S19-S45</f>
        <v>#REF!</v>
      </c>
      <c r="U47" s="53">
        <f>U19-U45</f>
        <v>126837249.57794708</v>
      </c>
      <c r="V47" s="53">
        <f>V19-V45</f>
        <v>86588391.205944568</v>
      </c>
      <c r="W47" s="299">
        <f>W19-W45</f>
        <v>213425640.78389156</v>
      </c>
    </row>
    <row r="48" spans="1:23" ht="15" thickTop="1" x14ac:dyDescent="0.35">
      <c r="A48" s="83">
        <f>ROW()</f>
        <v>48</v>
      </c>
      <c r="B48" s="801" t="s">
        <v>1123</v>
      </c>
      <c r="C48" s="803">
        <f>+'Summary DPK-7 '!K47-C47</f>
        <v>0</v>
      </c>
      <c r="D48" s="804">
        <f>+E47-C47-D47</f>
        <v>0</v>
      </c>
      <c r="E48" s="802">
        <f>+'Def, COC, ConvF DPK-7 '!C15-E47</f>
        <v>0</v>
      </c>
      <c r="F48" s="803">
        <f>+'Summary DPK-7 '!M47-F47</f>
        <v>0</v>
      </c>
      <c r="G48" s="804">
        <f>+H47-F47-G47</f>
        <v>0</v>
      </c>
      <c r="H48" s="802">
        <f>+'Def, COC, ConvF DPK-7 '!D15-H47</f>
        <v>0</v>
      </c>
      <c r="I48" s="803"/>
      <c r="J48" s="804"/>
      <c r="K48" s="802"/>
      <c r="O48" s="319" t="e">
        <f>O47-D47</f>
        <v>#REF!</v>
      </c>
      <c r="S48" s="319" t="e">
        <f>S47-G47</f>
        <v>#REF!</v>
      </c>
      <c r="U48" s="803">
        <f>+'Summary DPK-7 '!I47-U47</f>
        <v>0</v>
      </c>
      <c r="V48" s="804">
        <f>+W47-U47-V47</f>
        <v>0</v>
      </c>
      <c r="W48" s="288"/>
    </row>
    <row r="49" spans="1:23" x14ac:dyDescent="0.35">
      <c r="A49" s="83">
        <f>ROW()</f>
        <v>49</v>
      </c>
      <c r="B49" s="77" t="s">
        <v>30</v>
      </c>
      <c r="C49" s="54"/>
      <c r="D49" s="54"/>
      <c r="E49" s="300"/>
      <c r="F49" s="54"/>
      <c r="G49" s="54"/>
      <c r="H49" s="300"/>
      <c r="I49" s="54"/>
      <c r="J49" s="54"/>
      <c r="K49" s="300"/>
      <c r="U49" s="54"/>
      <c r="V49" s="54"/>
      <c r="W49" s="300"/>
    </row>
    <row r="50" spans="1:23" x14ac:dyDescent="0.35">
      <c r="A50" s="83">
        <f>ROW()</f>
        <v>50</v>
      </c>
      <c r="B50" s="77"/>
      <c r="C50" s="50"/>
      <c r="D50" s="50"/>
      <c r="E50" s="288"/>
      <c r="F50" s="50"/>
      <c r="G50" s="50"/>
      <c r="H50" s="288"/>
      <c r="I50" s="50"/>
      <c r="J50" s="50"/>
      <c r="K50" s="288"/>
      <c r="U50" s="50"/>
      <c r="V50" s="50"/>
      <c r="W50" s="288"/>
    </row>
    <row r="51" spans="1:23" x14ac:dyDescent="0.35">
      <c r="A51" s="83">
        <f>ROW()</f>
        <v>51</v>
      </c>
      <c r="B51" s="84" t="s">
        <v>20</v>
      </c>
      <c r="C51" s="56">
        <f>+'Summary DPK-7 '!K51</f>
        <v>5800008724.6087608</v>
      </c>
      <c r="D51" s="56"/>
      <c r="E51" s="290">
        <f t="shared" ref="E51:E56" si="10">SUM(C51:D51)</f>
        <v>5800008724.6087608</v>
      </c>
      <c r="F51" s="56">
        <f>+'Summary DPK-7 '!M51</f>
        <v>5939410189.596734</v>
      </c>
      <c r="G51" s="56"/>
      <c r="H51" s="290">
        <f t="shared" ref="H51:H56" si="11">SUM(F51:G51)</f>
        <v>5939410189.596734</v>
      </c>
      <c r="I51" s="56">
        <f>+'Summary DPK-7 '!Q51</f>
        <v>0</v>
      </c>
      <c r="J51" s="56"/>
      <c r="K51" s="290">
        <f t="shared" ref="K51:K56" si="12">SUM(I51:J51)</f>
        <v>0</v>
      </c>
      <c r="M51" s="116" t="e">
        <f>#REF!</f>
        <v>#REF!</v>
      </c>
      <c r="N51" s="242"/>
      <c r="O51" s="242"/>
      <c r="Q51" s="116" t="e">
        <f>#REF!</f>
        <v>#REF!</v>
      </c>
      <c r="R51" s="242"/>
      <c r="S51" s="242"/>
      <c r="U51" s="56">
        <f>'Summary DPK-7 '!I51</f>
        <v>5703698652.9502459</v>
      </c>
      <c r="V51" s="56"/>
      <c r="W51" s="290">
        <f t="shared" ref="W51:W56" si="13">SUM(U51:V51)</f>
        <v>5703698652.9502459</v>
      </c>
    </row>
    <row r="52" spans="1:23" x14ac:dyDescent="0.35">
      <c r="A52" s="83">
        <f>ROW()</f>
        <v>52</v>
      </c>
      <c r="B52" s="84" t="s">
        <v>21</v>
      </c>
      <c r="C52" s="56">
        <f>+'Summary DPK-7 '!K52</f>
        <v>-2520722889.248621</v>
      </c>
      <c r="D52" s="56"/>
      <c r="E52" s="290">
        <f t="shared" si="10"/>
        <v>-2520722889.248621</v>
      </c>
      <c r="F52" s="56">
        <f>+'Summary DPK-7 '!M52</f>
        <v>-2693931410.4844203</v>
      </c>
      <c r="G52" s="56"/>
      <c r="H52" s="290">
        <f t="shared" si="11"/>
        <v>-2693931410.4844203</v>
      </c>
      <c r="I52" s="56">
        <f>+'Summary DPK-7 '!Q52</f>
        <v>0</v>
      </c>
      <c r="J52" s="56"/>
      <c r="K52" s="290">
        <f t="shared" si="12"/>
        <v>0</v>
      </c>
      <c r="N52" s="242"/>
      <c r="O52" s="242"/>
      <c r="R52" s="242"/>
      <c r="S52" s="242"/>
      <c r="U52" s="56">
        <f>'Summary DPK-7 '!I52</f>
        <v>-2378834076.64008</v>
      </c>
      <c r="V52" s="56"/>
      <c r="W52" s="290">
        <f t="shared" si="13"/>
        <v>-2378834076.64008</v>
      </c>
    </row>
    <row r="53" spans="1:23" x14ac:dyDescent="0.35">
      <c r="A53" s="83">
        <f>ROW()</f>
        <v>53</v>
      </c>
      <c r="B53" s="84" t="s">
        <v>24</v>
      </c>
      <c r="C53" s="56">
        <f>+'Summary DPK-7 '!K53</f>
        <v>10700572.893702809</v>
      </c>
      <c r="D53" s="56"/>
      <c r="E53" s="290">
        <f t="shared" si="10"/>
        <v>10700572.893702809</v>
      </c>
      <c r="F53" s="56">
        <f>+'Summary DPK-7 '!M53</f>
        <v>4095970.3086249121</v>
      </c>
      <c r="G53" s="56"/>
      <c r="H53" s="290">
        <f t="shared" si="11"/>
        <v>4095970.3086249121</v>
      </c>
      <c r="I53" s="56">
        <f>+'Summary DPK-7 '!Q53</f>
        <v>0</v>
      </c>
      <c r="J53" s="56"/>
      <c r="K53" s="290">
        <f t="shared" si="12"/>
        <v>0</v>
      </c>
      <c r="N53" s="242"/>
      <c r="O53" s="242"/>
      <c r="R53" s="242"/>
      <c r="S53" s="242"/>
      <c r="U53" s="56">
        <f>'Summary DPK-7 '!I53</f>
        <v>17001808.131428298</v>
      </c>
      <c r="V53" s="56"/>
      <c r="W53" s="290">
        <f t="shared" si="13"/>
        <v>17001808.131428298</v>
      </c>
    </row>
    <row r="54" spans="1:23" x14ac:dyDescent="0.35">
      <c r="A54" s="83">
        <f>ROW()</f>
        <v>54</v>
      </c>
      <c r="B54" s="84" t="s">
        <v>25</v>
      </c>
      <c r="C54" s="56">
        <f>+'Summary DPK-7 '!K54</f>
        <v>-541309885.01676476</v>
      </c>
      <c r="D54" s="56"/>
      <c r="E54" s="290">
        <f t="shared" si="10"/>
        <v>-541309885.01676476</v>
      </c>
      <c r="F54" s="56">
        <f>+'Summary DPK-7 '!M54</f>
        <v>-504273922.93172115</v>
      </c>
      <c r="G54" s="56"/>
      <c r="H54" s="290">
        <f t="shared" si="11"/>
        <v>-504273922.93172115</v>
      </c>
      <c r="I54" s="56">
        <f>+'Summary DPK-7 '!Q54</f>
        <v>0</v>
      </c>
      <c r="J54" s="56"/>
      <c r="K54" s="290">
        <f t="shared" si="12"/>
        <v>0</v>
      </c>
      <c r="N54" s="242"/>
      <c r="O54" s="242"/>
      <c r="R54" s="242"/>
      <c r="S54" s="242"/>
      <c r="U54" s="56">
        <f>'Summary DPK-7 '!I54</f>
        <v>-558903629.43259001</v>
      </c>
      <c r="V54" s="56"/>
      <c r="W54" s="290">
        <f t="shared" si="13"/>
        <v>-558903629.43259001</v>
      </c>
    </row>
    <row r="55" spans="1:23" x14ac:dyDescent="0.35">
      <c r="A55" s="83">
        <f>ROW()</f>
        <v>55</v>
      </c>
      <c r="B55" s="84" t="s">
        <v>26</v>
      </c>
      <c r="C55" s="56">
        <f>+'Summary DPK-7 '!K55</f>
        <v>119028167.29199991</v>
      </c>
      <c r="D55" s="56"/>
      <c r="E55" s="290">
        <f t="shared" si="10"/>
        <v>119028167.29199991</v>
      </c>
      <c r="F55" s="56">
        <f>+'Summary DPK-7 '!M55</f>
        <v>119028167.29199991</v>
      </c>
      <c r="G55" s="56"/>
      <c r="H55" s="290">
        <f t="shared" si="11"/>
        <v>119028167.29199991</v>
      </c>
      <c r="I55" s="56">
        <f>+'Summary DPK-7 '!Q55</f>
        <v>0</v>
      </c>
      <c r="J55" s="56"/>
      <c r="K55" s="290">
        <f t="shared" si="12"/>
        <v>0</v>
      </c>
      <c r="N55" s="242"/>
      <c r="O55" s="242"/>
      <c r="R55" s="242"/>
      <c r="S55" s="242"/>
      <c r="U55" s="56">
        <f>'Summary DPK-7 '!I55</f>
        <v>119028167.29199991</v>
      </c>
      <c r="V55" s="56"/>
      <c r="W55" s="290">
        <f t="shared" si="13"/>
        <v>119028167.29199991</v>
      </c>
    </row>
    <row r="56" spans="1:23" x14ac:dyDescent="0.35">
      <c r="A56" s="83">
        <f>ROW()</f>
        <v>56</v>
      </c>
      <c r="B56" s="84" t="s">
        <v>27</v>
      </c>
      <c r="C56" s="56">
        <f>+'Summary DPK-7 '!K56</f>
        <v>-1200697.579405</v>
      </c>
      <c r="D56" s="56"/>
      <c r="E56" s="290">
        <f t="shared" si="10"/>
        <v>-1200697.579405</v>
      </c>
      <c r="F56" s="56">
        <f>+'Summary DPK-7 '!M56</f>
        <v>-1200697.579405</v>
      </c>
      <c r="G56" s="56"/>
      <c r="H56" s="290">
        <f t="shared" si="11"/>
        <v>-1200697.579405</v>
      </c>
      <c r="I56" s="56">
        <f>+'Summary DPK-7 '!Q56</f>
        <v>0</v>
      </c>
      <c r="J56" s="56"/>
      <c r="K56" s="290">
        <f t="shared" si="12"/>
        <v>0</v>
      </c>
      <c r="N56" s="242"/>
      <c r="O56" s="242"/>
      <c r="R56" s="242"/>
      <c r="S56" s="242"/>
      <c r="U56" s="56">
        <f>'Summary DPK-7 '!I56</f>
        <v>-1200697.579405</v>
      </c>
      <c r="V56" s="56"/>
      <c r="W56" s="290">
        <f t="shared" si="13"/>
        <v>-1200697.579405</v>
      </c>
    </row>
    <row r="57" spans="1:23" x14ac:dyDescent="0.35">
      <c r="A57" s="83">
        <f>ROW()</f>
        <v>57</v>
      </c>
      <c r="B57" s="84"/>
      <c r="C57" s="297"/>
      <c r="D57" s="56"/>
      <c r="E57" s="298"/>
      <c r="F57" s="297"/>
      <c r="G57" s="56"/>
      <c r="H57" s="298"/>
      <c r="I57" s="297"/>
      <c r="J57" s="56"/>
      <c r="K57" s="298"/>
      <c r="U57" s="387"/>
      <c r="V57" s="56"/>
      <c r="W57" s="386"/>
    </row>
    <row r="58" spans="1:23" ht="15" thickBot="1" x14ac:dyDescent="0.4">
      <c r="A58" s="83">
        <f>ROW()</f>
        <v>58</v>
      </c>
      <c r="B58" s="85" t="s">
        <v>22</v>
      </c>
      <c r="C58" s="53">
        <f>SUM(C51:C57)</f>
        <v>2866503992.9496732</v>
      </c>
      <c r="D58" s="56"/>
      <c r="E58" s="299">
        <f>SUM(E51:E57)</f>
        <v>2866503992.9496732</v>
      </c>
      <c r="F58" s="53">
        <f>SUM(F51:F57)</f>
        <v>2863128296.2018123</v>
      </c>
      <c r="G58" s="56"/>
      <c r="H58" s="299">
        <f>SUM(H51:H57)</f>
        <v>2863128296.2018123</v>
      </c>
      <c r="I58" s="53">
        <f>SUM(I51:I57)</f>
        <v>0</v>
      </c>
      <c r="J58" s="56"/>
      <c r="K58" s="299">
        <f>SUM(K51:K57)</f>
        <v>0</v>
      </c>
      <c r="M58" s="116" t="e">
        <f>SUM(M51:M57)</f>
        <v>#REF!</v>
      </c>
      <c r="N58" s="116"/>
      <c r="O58" s="116"/>
      <c r="Q58" s="116" t="e">
        <f>SUM(Q51:Q57)</f>
        <v>#REF!</v>
      </c>
      <c r="R58" s="116"/>
      <c r="S58" s="116"/>
      <c r="U58" s="53">
        <f>SUM(U51:U57)</f>
        <v>2900790224.7215991</v>
      </c>
      <c r="V58" s="56"/>
      <c r="W58" s="299">
        <f>SUM(W51:W57)</f>
        <v>2900790224.7215991</v>
      </c>
    </row>
    <row r="59" spans="1:23" ht="15" thickTop="1" x14ac:dyDescent="0.35">
      <c r="A59" s="83">
        <f>ROW()</f>
        <v>59</v>
      </c>
      <c r="B59" s="801" t="s">
        <v>1123</v>
      </c>
      <c r="C59" s="803">
        <f>+'Summary DPK-7 '!K58-C58</f>
        <v>0</v>
      </c>
      <c r="D59" s="56"/>
      <c r="E59" s="802">
        <f>+'Def, COC, ConvF DPK-7 '!C12-E58</f>
        <v>0</v>
      </c>
      <c r="F59" s="803">
        <f>+'Summary DPK-7 '!M58-F58</f>
        <v>0</v>
      </c>
      <c r="G59" s="56"/>
      <c r="H59" s="802">
        <f>+'Def, COC, ConvF DPK-7 '!D12-H58</f>
        <v>0</v>
      </c>
      <c r="I59" s="50"/>
      <c r="J59" s="56"/>
      <c r="K59" s="288"/>
      <c r="U59" s="803">
        <f>+'Summary DPK-7 '!I58-U58</f>
        <v>0</v>
      </c>
      <c r="V59" s="56"/>
      <c r="W59" s="288"/>
    </row>
    <row r="60" spans="1:23" x14ac:dyDescent="0.35">
      <c r="A60" s="83">
        <f>ROW()</f>
        <v>60</v>
      </c>
      <c r="B60" s="77" t="s">
        <v>29</v>
      </c>
      <c r="C60" s="54">
        <f>'Summary DPK-7 '!K60</f>
        <v>7.3575000000000002E-2</v>
      </c>
      <c r="D60" s="56"/>
      <c r="E60" s="300">
        <f>C60</f>
        <v>7.3575000000000002E-2</v>
      </c>
      <c r="F60" s="54">
        <f>'Summary DPK-7 '!M60</f>
        <v>7.3700000000000002E-2</v>
      </c>
      <c r="G60" s="56"/>
      <c r="H60" s="300">
        <f>F60</f>
        <v>7.3700000000000002E-2</v>
      </c>
      <c r="I60" s="54">
        <f>'Summary DPK-7 '!Q60</f>
        <v>0</v>
      </c>
      <c r="J60" s="56"/>
      <c r="K60" s="300">
        <f>I60</f>
        <v>0</v>
      </c>
      <c r="M60" s="244" t="e">
        <f>M47/M58</f>
        <v>#REF!</v>
      </c>
      <c r="N60" s="244"/>
      <c r="O60" s="244"/>
      <c r="Q60" s="244" t="e">
        <f>Q47/Q58</f>
        <v>#REF!</v>
      </c>
      <c r="R60" s="244"/>
      <c r="S60" s="244"/>
      <c r="U60" s="54">
        <f>'Summary DPK-7 '!I60</f>
        <v>7.3575000000000002E-2</v>
      </c>
      <c r="V60" s="56"/>
      <c r="W60" s="300">
        <f>U60</f>
        <v>7.3575000000000002E-2</v>
      </c>
    </row>
    <row r="61" spans="1:23" x14ac:dyDescent="0.35">
      <c r="A61" s="83">
        <f>ROW()</f>
        <v>61</v>
      </c>
      <c r="B61" s="77"/>
      <c r="C61" s="54"/>
      <c r="D61" s="56"/>
      <c r="E61" s="300"/>
      <c r="F61" s="54"/>
      <c r="G61" s="56"/>
      <c r="H61" s="300"/>
      <c r="I61" s="54"/>
      <c r="J61" s="56"/>
      <c r="K61" s="300"/>
      <c r="U61" s="54"/>
      <c r="V61" s="56"/>
      <c r="W61" s="300"/>
    </row>
    <row r="62" spans="1:23" x14ac:dyDescent="0.35">
      <c r="A62" s="83">
        <f>ROW()</f>
        <v>62</v>
      </c>
      <c r="B62" s="77" t="s">
        <v>44</v>
      </c>
      <c r="C62" s="56">
        <f>C47-C60*C58</f>
        <v>-166005794.53225347</v>
      </c>
      <c r="D62" s="56"/>
      <c r="E62" s="290">
        <f>E47-E60*E58</f>
        <v>0</v>
      </c>
      <c r="F62" s="56">
        <f>F47-F60*F58</f>
        <v>-177333173.81880754</v>
      </c>
      <c r="G62" s="56"/>
      <c r="H62" s="290">
        <f>H47-H60*H58</f>
        <v>0</v>
      </c>
      <c r="I62" s="56">
        <f>I47-I60*I58</f>
        <v>0</v>
      </c>
      <c r="J62" s="56"/>
      <c r="K62" s="290">
        <f>K47-K60*K58</f>
        <v>0</v>
      </c>
      <c r="M62" s="116" t="e">
        <f>M58*C60-M47</f>
        <v>#REF!</v>
      </c>
      <c r="N62" s="116"/>
      <c r="O62" s="116"/>
      <c r="Q62" s="116" t="e">
        <f>Q58*F60-Q47</f>
        <v>#REF!</v>
      </c>
      <c r="R62" s="116"/>
      <c r="S62" s="116"/>
      <c r="U62" s="56">
        <f>U47-U60*U58</f>
        <v>-86588391.205944568</v>
      </c>
      <c r="V62" s="56"/>
      <c r="W62" s="290">
        <f>W47-W60*W58</f>
        <v>0</v>
      </c>
    </row>
    <row r="63" spans="1:23" x14ac:dyDescent="0.35">
      <c r="A63" s="83">
        <f>ROW()</f>
        <v>63</v>
      </c>
      <c r="B63" s="77" t="s">
        <v>23</v>
      </c>
      <c r="C63" s="57">
        <f>+'Summary DPK-7 '!K63</f>
        <v>0.75421300000000002</v>
      </c>
      <c r="D63" s="56"/>
      <c r="E63" s="301">
        <f>C63</f>
        <v>0.75421300000000002</v>
      </c>
      <c r="F63" s="57">
        <f>+'Summary DPK-7 '!M63</f>
        <v>0.75421300000000002</v>
      </c>
      <c r="G63" s="56"/>
      <c r="H63" s="301">
        <f>F63</f>
        <v>0.75421300000000002</v>
      </c>
      <c r="I63" s="57">
        <f>+'Summary DPK-7 '!Q63</f>
        <v>0</v>
      </c>
      <c r="J63" s="56"/>
      <c r="K63" s="301">
        <f>I63</f>
        <v>0</v>
      </c>
      <c r="M63" s="316">
        <f>C63</f>
        <v>0.75421300000000002</v>
      </c>
      <c r="N63" s="316"/>
      <c r="O63" s="316"/>
      <c r="Q63" s="316">
        <f>M63</f>
        <v>0.75421300000000002</v>
      </c>
      <c r="R63" s="316"/>
      <c r="S63" s="316"/>
      <c r="U63" s="57">
        <f>+'Summary DPK-7 '!I63</f>
        <v>0.75421300000000002</v>
      </c>
      <c r="V63" s="56"/>
      <c r="W63" s="301">
        <f>U63</f>
        <v>0.75421300000000002</v>
      </c>
    </row>
    <row r="64" spans="1:23" x14ac:dyDescent="0.35">
      <c r="A64" s="83">
        <f>ROW()</f>
        <v>64</v>
      </c>
      <c r="B64" s="77"/>
      <c r="C64" s="297"/>
      <c r="D64" s="56"/>
      <c r="E64" s="298"/>
      <c r="F64" s="297"/>
      <c r="G64" s="56"/>
      <c r="H64" s="298"/>
      <c r="I64" s="297"/>
      <c r="J64" s="56"/>
      <c r="K64" s="298"/>
      <c r="U64" s="387"/>
      <c r="V64" s="56"/>
      <c r="W64" s="386"/>
    </row>
    <row r="65" spans="1:23" x14ac:dyDescent="0.35">
      <c r="A65" s="83">
        <f>ROW()</f>
        <v>65</v>
      </c>
      <c r="B65" s="85" t="s">
        <v>41</v>
      </c>
      <c r="C65" s="302">
        <f>-C62/C63</f>
        <v>220104658.1433275</v>
      </c>
      <c r="D65" s="56"/>
      <c r="E65" s="303">
        <f>-E62/E63</f>
        <v>0</v>
      </c>
      <c r="F65" s="302">
        <f>-F62/F63</f>
        <v>235123464.88168135</v>
      </c>
      <c r="G65" s="56"/>
      <c r="H65" s="303">
        <f>-H62/H63</f>
        <v>0</v>
      </c>
      <c r="I65" s="302" t="e">
        <f>-I62/I63</f>
        <v>#DIV/0!</v>
      </c>
      <c r="J65" s="56"/>
      <c r="K65" s="303" t="e">
        <f>-K62/K63</f>
        <v>#DIV/0!</v>
      </c>
      <c r="M65" s="116" t="e">
        <f>M62/M63</f>
        <v>#REF!</v>
      </c>
      <c r="N65" s="116"/>
      <c r="O65" s="116"/>
      <c r="Q65" s="116" t="e">
        <f>Q62/Q63</f>
        <v>#REF!</v>
      </c>
      <c r="R65" s="116"/>
      <c r="S65" s="116"/>
      <c r="U65" s="302">
        <f>-U62/U63</f>
        <v>114806283.11358272</v>
      </c>
      <c r="V65" s="56"/>
      <c r="W65" s="303">
        <f>-W62/W63</f>
        <v>0</v>
      </c>
    </row>
    <row r="66" spans="1:23" x14ac:dyDescent="0.35">
      <c r="A66" s="83">
        <f>ROW()</f>
        <v>66</v>
      </c>
      <c r="B66" s="77"/>
      <c r="C66" s="50"/>
      <c r="D66" s="50"/>
      <c r="E66" s="288"/>
      <c r="F66" s="50"/>
      <c r="G66" s="50"/>
      <c r="H66" s="288"/>
      <c r="I66" s="50"/>
      <c r="J66" s="50"/>
      <c r="K66" s="288"/>
      <c r="U66" s="50"/>
      <c r="V66" s="50"/>
      <c r="W66" s="288"/>
    </row>
    <row r="67" spans="1:23" x14ac:dyDescent="0.35">
      <c r="A67" s="83">
        <f>ROW()</f>
        <v>67</v>
      </c>
      <c r="B67" s="77" t="s">
        <v>42</v>
      </c>
      <c r="C67" s="56">
        <f>'Summary DPK-7 '!K67</f>
        <v>0</v>
      </c>
      <c r="D67" s="56"/>
      <c r="E67" s="290">
        <f>'Summary DPK-7 '!M67</f>
        <v>0</v>
      </c>
      <c r="F67" s="56">
        <f>'Summary DPK-7 '!M67</f>
        <v>0</v>
      </c>
      <c r="G67" s="56"/>
      <c r="H67" s="290">
        <f>'Summary DPK-7 '!R67</f>
        <v>0</v>
      </c>
      <c r="I67" s="56">
        <f>'Summary DPK-7 '!Q67</f>
        <v>0</v>
      </c>
      <c r="J67" s="56"/>
      <c r="K67" s="290">
        <f>'Summary DPK-7 '!U67</f>
        <v>0</v>
      </c>
      <c r="U67" s="56">
        <f>SUM('Summary DPK-7 '!I78:I79)</f>
        <v>0</v>
      </c>
      <c r="V67" s="56"/>
      <c r="W67" s="290">
        <f>'Summary DPK-7 '!AG67</f>
        <v>0</v>
      </c>
    </row>
    <row r="68" spans="1:23" x14ac:dyDescent="0.35">
      <c r="A68" s="83">
        <f>ROW()</f>
        <v>68</v>
      </c>
      <c r="B68" s="77"/>
      <c r="C68" s="297"/>
      <c r="D68" s="297"/>
      <c r="E68" s="298"/>
      <c r="F68" s="297"/>
      <c r="G68" s="297"/>
      <c r="H68" s="298"/>
      <c r="I68" s="297"/>
      <c r="J68" s="297"/>
      <c r="K68" s="298"/>
      <c r="U68" s="387"/>
      <c r="V68" s="387"/>
      <c r="W68" s="386"/>
    </row>
    <row r="69" spans="1:23" ht="15" thickBot="1" x14ac:dyDescent="0.4">
      <c r="A69" s="83">
        <f>ROW()</f>
        <v>69</v>
      </c>
      <c r="B69" s="77" t="s">
        <v>342</v>
      </c>
      <c r="C69" s="53">
        <f t="shared" ref="C69:K69" si="14">SUM(C65:C68)</f>
        <v>220104658.1433275</v>
      </c>
      <c r="D69" s="53">
        <f t="shared" si="14"/>
        <v>0</v>
      </c>
      <c r="E69" s="299">
        <f t="shared" si="14"/>
        <v>0</v>
      </c>
      <c r="F69" s="53">
        <f t="shared" si="14"/>
        <v>235123464.88168135</v>
      </c>
      <c r="G69" s="53">
        <f t="shared" si="14"/>
        <v>0</v>
      </c>
      <c r="H69" s="299">
        <f t="shared" si="14"/>
        <v>0</v>
      </c>
      <c r="I69" s="53" t="e">
        <f t="shared" si="14"/>
        <v>#DIV/0!</v>
      </c>
      <c r="J69" s="53">
        <f t="shared" si="14"/>
        <v>0</v>
      </c>
      <c r="K69" s="299" t="e">
        <f t="shared" si="14"/>
        <v>#DIV/0!</v>
      </c>
      <c r="U69" s="53">
        <f>SUM(U65:U68)</f>
        <v>114806283.11358272</v>
      </c>
      <c r="V69" s="53"/>
      <c r="W69" s="299">
        <f>SUM(W65:W68)</f>
        <v>0</v>
      </c>
    </row>
    <row r="70" spans="1:23" ht="15" thickTop="1" x14ac:dyDescent="0.35">
      <c r="A70" s="227">
        <f>ROW()</f>
        <v>70</v>
      </c>
      <c r="B70" s="806" t="s">
        <v>1123</v>
      </c>
      <c r="C70" s="805">
        <f>+'Def, COC, ConvF DPK-7 '!C21-C69</f>
        <v>-0.1433275043964386</v>
      </c>
      <c r="D70" s="305"/>
      <c r="E70" s="306"/>
      <c r="F70" s="805">
        <f>+'Def, COC, ConvF DPK-7 '!D21-F69</f>
        <v>0.11831864714622498</v>
      </c>
      <c r="G70" s="305"/>
      <c r="H70" s="306"/>
      <c r="I70" s="304"/>
      <c r="J70" s="305"/>
      <c r="K70" s="306"/>
      <c r="U70" s="304"/>
      <c r="V70" s="305"/>
      <c r="W70" s="306"/>
    </row>
    <row r="71" spans="1:23" x14ac:dyDescent="0.35">
      <c r="U71" s="1"/>
      <c r="V71" s="1"/>
      <c r="W71" s="1"/>
    </row>
    <row r="72" spans="1:23" x14ac:dyDescent="0.35">
      <c r="C72" s="142">
        <f>ROUND('Summary DPK-7 '!K65-C69,0)</f>
        <v>0</v>
      </c>
      <c r="D72" s="142"/>
      <c r="E72" s="142"/>
      <c r="F72" s="142">
        <f>ROUND('Summary DPK-7 '!M65-F69,0)</f>
        <v>0</v>
      </c>
      <c r="G72" s="142"/>
      <c r="H72" s="142"/>
      <c r="I72" s="142" t="e">
        <f>ROUND('Summary DPK-7 '!Q65-I69,0)</f>
        <v>#DIV/0!</v>
      </c>
      <c r="J72" s="142"/>
      <c r="K72" s="142"/>
      <c r="U72" s="142">
        <f>ROUND('Summary DPK-7 '!I65-U69,0)</f>
        <v>0</v>
      </c>
      <c r="V72" s="142"/>
      <c r="W72" s="142"/>
    </row>
    <row r="73" spans="1:23" x14ac:dyDescent="0.35">
      <c r="C73" s="142"/>
      <c r="D73" s="142"/>
      <c r="E73" s="142"/>
      <c r="F73" s="142"/>
      <c r="G73" s="142"/>
      <c r="H73" s="142"/>
      <c r="I73" s="142"/>
      <c r="J73" s="142"/>
      <c r="K73" s="142"/>
    </row>
    <row r="78" spans="1:23" x14ac:dyDescent="0.35">
      <c r="C78"/>
      <c r="D78"/>
      <c r="E78"/>
      <c r="F78"/>
      <c r="G78"/>
      <c r="H78"/>
      <c r="I78"/>
      <c r="J78"/>
      <c r="K78"/>
    </row>
    <row r="79" spans="1:23" x14ac:dyDescent="0.35">
      <c r="C79"/>
      <c r="D79"/>
      <c r="E79"/>
      <c r="F79"/>
      <c r="G79"/>
      <c r="H79"/>
      <c r="I79"/>
      <c r="J79"/>
      <c r="K79"/>
    </row>
    <row r="80" spans="1:23" x14ac:dyDescent="0.35">
      <c r="C80"/>
      <c r="D80"/>
      <c r="E80"/>
      <c r="F80"/>
      <c r="G80"/>
      <c r="H80"/>
      <c r="I80"/>
      <c r="J80"/>
      <c r="K80"/>
    </row>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sheetData>
  <conditionalFormatting sqref="C72:K73">
    <cfRule type="cellIs" dxfId="22" priority="3" operator="notEqual">
      <formula>0</formula>
    </cfRule>
  </conditionalFormatting>
  <conditionalFormatting sqref="U72:W72">
    <cfRule type="cellIs" dxfId="21" priority="1" operator="notEqual">
      <formula>0</formula>
    </cfRule>
  </conditionalFormatting>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2:L569"/>
  <sheetViews>
    <sheetView topLeftCell="A2" workbookViewId="0">
      <selection activeCell="B159" sqref="B159"/>
    </sheetView>
  </sheetViews>
  <sheetFormatPr defaultRowHeight="14.5" x14ac:dyDescent="0.35"/>
  <cols>
    <col min="1" max="1" width="41.7265625" customWidth="1"/>
    <col min="2" max="2" width="24.26953125" customWidth="1"/>
  </cols>
  <sheetData>
    <row r="2" spans="1:2" x14ac:dyDescent="0.35">
      <c r="A2" t="s">
        <v>311</v>
      </c>
      <c r="B2" t="s">
        <v>959</v>
      </c>
    </row>
    <row r="3" spans="1:2" x14ac:dyDescent="0.35">
      <c r="A3" t="s">
        <v>313</v>
      </c>
      <c r="B3" t="s">
        <v>926</v>
      </c>
    </row>
    <row r="4" spans="1:2" x14ac:dyDescent="0.35">
      <c r="A4" t="s">
        <v>319</v>
      </c>
      <c r="B4" t="s">
        <v>318</v>
      </c>
    </row>
    <row r="5" spans="1:2" x14ac:dyDescent="0.35">
      <c r="A5" t="s">
        <v>320</v>
      </c>
      <c r="B5" t="s">
        <v>948</v>
      </c>
    </row>
    <row r="6" spans="1:2" x14ac:dyDescent="0.35">
      <c r="A6" t="s">
        <v>321</v>
      </c>
      <c r="B6" t="s">
        <v>949</v>
      </c>
    </row>
    <row r="7" spans="1:2" x14ac:dyDescent="0.35">
      <c r="A7" t="s">
        <v>321</v>
      </c>
      <c r="B7" t="s">
        <v>950</v>
      </c>
    </row>
    <row r="8" spans="1:2" x14ac:dyDescent="0.35">
      <c r="A8" t="s">
        <v>312</v>
      </c>
      <c r="B8" t="s">
        <v>922</v>
      </c>
    </row>
    <row r="9" spans="1:2" x14ac:dyDescent="0.35">
      <c r="A9" t="s">
        <v>314</v>
      </c>
      <c r="B9" t="s">
        <v>192</v>
      </c>
    </row>
    <row r="10" spans="1:2" x14ac:dyDescent="0.35">
      <c r="A10" t="s">
        <v>315</v>
      </c>
      <c r="B10" t="s">
        <v>317</v>
      </c>
    </row>
    <row r="11" spans="1:2" x14ac:dyDescent="0.35">
      <c r="A11" t="s">
        <v>316</v>
      </c>
      <c r="B11" s="220">
        <v>0.21</v>
      </c>
    </row>
    <row r="17" spans="1:12" x14ac:dyDescent="0.35">
      <c r="A17">
        <v>1</v>
      </c>
      <c r="B17" t="s">
        <v>16</v>
      </c>
    </row>
    <row r="18" spans="1:12" x14ac:dyDescent="0.35">
      <c r="A18">
        <v>2</v>
      </c>
      <c r="B18" t="s">
        <v>17</v>
      </c>
    </row>
    <row r="19" spans="1:12" x14ac:dyDescent="0.35">
      <c r="A19">
        <v>3</v>
      </c>
      <c r="B19" t="s">
        <v>134</v>
      </c>
    </row>
    <row r="20" spans="1:12" x14ac:dyDescent="0.35">
      <c r="A20">
        <v>4</v>
      </c>
      <c r="B20" t="s">
        <v>18</v>
      </c>
    </row>
    <row r="21" spans="1:12" x14ac:dyDescent="0.35">
      <c r="A21">
        <v>5</v>
      </c>
      <c r="B21" t="s">
        <v>82</v>
      </c>
    </row>
    <row r="22" spans="1:12" x14ac:dyDescent="0.35">
      <c r="A22">
        <v>6</v>
      </c>
      <c r="B22" t="s">
        <v>19</v>
      </c>
    </row>
    <row r="23" spans="1:12" x14ac:dyDescent="0.35">
      <c r="A23">
        <v>7</v>
      </c>
      <c r="B23" t="s">
        <v>83</v>
      </c>
    </row>
    <row r="24" spans="1:12" x14ac:dyDescent="0.35">
      <c r="A24">
        <v>8</v>
      </c>
      <c r="B24" t="s">
        <v>34</v>
      </c>
    </row>
    <row r="25" spans="1:12" x14ac:dyDescent="0.35">
      <c r="A25">
        <v>9</v>
      </c>
      <c r="B25" t="s">
        <v>84</v>
      </c>
    </row>
    <row r="26" spans="1:12" x14ac:dyDescent="0.35">
      <c r="A26">
        <v>10</v>
      </c>
      <c r="B26" t="s">
        <v>38</v>
      </c>
      <c r="L26" t="s">
        <v>227</v>
      </c>
    </row>
    <row r="27" spans="1:12" x14ac:dyDescent="0.35">
      <c r="A27">
        <v>11</v>
      </c>
      <c r="B27" t="s">
        <v>85</v>
      </c>
    </row>
    <row r="28" spans="1:12" x14ac:dyDescent="0.35">
      <c r="A28">
        <v>12</v>
      </c>
      <c r="B28" t="s">
        <v>47</v>
      </c>
    </row>
    <row r="29" spans="1:12" x14ac:dyDescent="0.35">
      <c r="A29">
        <v>13</v>
      </c>
      <c r="B29" t="s">
        <v>86</v>
      </c>
    </row>
    <row r="30" spans="1:12" x14ac:dyDescent="0.35">
      <c r="A30">
        <v>14</v>
      </c>
      <c r="B30" t="s">
        <v>87</v>
      </c>
    </row>
    <row r="31" spans="1:12" x14ac:dyDescent="0.35">
      <c r="A31">
        <v>15</v>
      </c>
      <c r="B31" t="s">
        <v>88</v>
      </c>
    </row>
    <row r="32" spans="1:12" x14ac:dyDescent="0.35">
      <c r="A32">
        <v>16</v>
      </c>
      <c r="B32" t="s">
        <v>138</v>
      </c>
    </row>
    <row r="33" spans="1:2" x14ac:dyDescent="0.35">
      <c r="A33">
        <v>17</v>
      </c>
      <c r="B33" t="s">
        <v>139</v>
      </c>
    </row>
    <row r="34" spans="1:2" x14ac:dyDescent="0.35">
      <c r="A34">
        <v>18</v>
      </c>
      <c r="B34" t="s">
        <v>89</v>
      </c>
    </row>
    <row r="35" spans="1:2" x14ac:dyDescent="0.35">
      <c r="A35">
        <v>19</v>
      </c>
      <c r="B35" t="s">
        <v>90</v>
      </c>
    </row>
    <row r="36" spans="1:2" x14ac:dyDescent="0.35">
      <c r="A36">
        <v>20</v>
      </c>
      <c r="B36" t="s">
        <v>91</v>
      </c>
    </row>
    <row r="37" spans="1:2" x14ac:dyDescent="0.35">
      <c r="A37">
        <v>21</v>
      </c>
      <c r="B37" t="s">
        <v>92</v>
      </c>
    </row>
    <row r="38" spans="1:2" x14ac:dyDescent="0.35">
      <c r="A38">
        <v>22</v>
      </c>
      <c r="B38" t="s">
        <v>93</v>
      </c>
    </row>
    <row r="39" spans="1:2" x14ac:dyDescent="0.35">
      <c r="A39">
        <v>23</v>
      </c>
      <c r="B39" t="s">
        <v>140</v>
      </c>
    </row>
    <row r="40" spans="1:2" x14ac:dyDescent="0.35">
      <c r="A40">
        <v>24</v>
      </c>
      <c r="B40" t="s">
        <v>94</v>
      </c>
    </row>
    <row r="41" spans="1:2" x14ac:dyDescent="0.35">
      <c r="A41">
        <v>25</v>
      </c>
      <c r="B41" t="s">
        <v>95</v>
      </c>
    </row>
    <row r="42" spans="1:2" x14ac:dyDescent="0.35">
      <c r="A42">
        <v>26</v>
      </c>
      <c r="B42" t="s">
        <v>96</v>
      </c>
    </row>
    <row r="43" spans="1:2" x14ac:dyDescent="0.35">
      <c r="A43">
        <v>27</v>
      </c>
      <c r="B43" t="s">
        <v>97</v>
      </c>
    </row>
    <row r="44" spans="1:2" x14ac:dyDescent="0.35">
      <c r="A44">
        <v>28</v>
      </c>
      <c r="B44" t="s">
        <v>98</v>
      </c>
    </row>
    <row r="45" spans="1:2" x14ac:dyDescent="0.35">
      <c r="A45">
        <v>29</v>
      </c>
      <c r="B45" t="s">
        <v>99</v>
      </c>
    </row>
    <row r="46" spans="1:2" x14ac:dyDescent="0.35">
      <c r="A46">
        <v>30</v>
      </c>
      <c r="B46" t="s">
        <v>100</v>
      </c>
    </row>
    <row r="47" spans="1:2" x14ac:dyDescent="0.35">
      <c r="A47">
        <v>31</v>
      </c>
      <c r="B47" t="s">
        <v>149</v>
      </c>
    </row>
    <row r="48" spans="1:2" x14ac:dyDescent="0.35">
      <c r="A48">
        <v>32</v>
      </c>
      <c r="B48" t="s">
        <v>101</v>
      </c>
    </row>
    <row r="49" spans="1:2" x14ac:dyDescent="0.35">
      <c r="A49">
        <v>33</v>
      </c>
      <c r="B49" t="s">
        <v>301</v>
      </c>
    </row>
    <row r="50" spans="1:2" x14ac:dyDescent="0.35">
      <c r="A50">
        <v>34</v>
      </c>
      <c r="B50" t="s">
        <v>302</v>
      </c>
    </row>
    <row r="51" spans="1:2" x14ac:dyDescent="0.35">
      <c r="A51">
        <v>35</v>
      </c>
      <c r="B51" t="s">
        <v>102</v>
      </c>
    </row>
    <row r="52" spans="1:2" x14ac:dyDescent="0.35">
      <c r="A52">
        <v>36</v>
      </c>
      <c r="B52" t="s">
        <v>103</v>
      </c>
    </row>
    <row r="53" spans="1:2" x14ac:dyDescent="0.35">
      <c r="A53">
        <v>37</v>
      </c>
      <c r="B53" t="s">
        <v>104</v>
      </c>
    </row>
    <row r="54" spans="1:2" x14ac:dyDescent="0.35">
      <c r="A54">
        <v>38</v>
      </c>
      <c r="B54" t="s">
        <v>105</v>
      </c>
    </row>
    <row r="55" spans="1:2" x14ac:dyDescent="0.35">
      <c r="A55">
        <v>39</v>
      </c>
      <c r="B55" t="s">
        <v>106</v>
      </c>
    </row>
    <row r="56" spans="1:2" x14ac:dyDescent="0.35">
      <c r="A56">
        <v>40</v>
      </c>
      <c r="B56" t="s">
        <v>107</v>
      </c>
    </row>
    <row r="57" spans="1:2" x14ac:dyDescent="0.35">
      <c r="A57">
        <v>41</v>
      </c>
      <c r="B57" t="s">
        <v>108</v>
      </c>
    </row>
    <row r="58" spans="1:2" x14ac:dyDescent="0.35">
      <c r="A58">
        <v>42</v>
      </c>
      <c r="B58" t="s">
        <v>109</v>
      </c>
    </row>
    <row r="59" spans="1:2" x14ac:dyDescent="0.35">
      <c r="A59">
        <v>43</v>
      </c>
      <c r="B59" t="s">
        <v>110</v>
      </c>
    </row>
    <row r="60" spans="1:2" x14ac:dyDescent="0.35">
      <c r="A60">
        <v>44</v>
      </c>
      <c r="B60" t="s">
        <v>111</v>
      </c>
    </row>
    <row r="61" spans="1:2" x14ac:dyDescent="0.35">
      <c r="A61">
        <v>45</v>
      </c>
      <c r="B61" t="s">
        <v>112</v>
      </c>
    </row>
    <row r="62" spans="1:2" x14ac:dyDescent="0.35">
      <c r="A62">
        <v>46</v>
      </c>
      <c r="B62" t="s">
        <v>113</v>
      </c>
    </row>
    <row r="63" spans="1:2" x14ac:dyDescent="0.35">
      <c r="A63">
        <v>47</v>
      </c>
      <c r="B63" t="s">
        <v>114</v>
      </c>
    </row>
    <row r="64" spans="1:2" x14ac:dyDescent="0.35">
      <c r="A64">
        <v>48</v>
      </c>
      <c r="B64" t="s">
        <v>365</v>
      </c>
    </row>
    <row r="65" spans="1:2" x14ac:dyDescent="0.35">
      <c r="A65">
        <v>49</v>
      </c>
      <c r="B65" t="s">
        <v>366</v>
      </c>
    </row>
    <row r="66" spans="1:2" x14ac:dyDescent="0.35">
      <c r="A66">
        <v>50</v>
      </c>
      <c r="B66" t="s">
        <v>115</v>
      </c>
    </row>
    <row r="67" spans="1:2" x14ac:dyDescent="0.35">
      <c r="A67">
        <v>51</v>
      </c>
      <c r="B67" t="s">
        <v>116</v>
      </c>
    </row>
    <row r="68" spans="1:2" x14ac:dyDescent="0.35">
      <c r="A68">
        <v>52</v>
      </c>
      <c r="B68" t="s">
        <v>117</v>
      </c>
    </row>
    <row r="69" spans="1:2" x14ac:dyDescent="0.35">
      <c r="A69">
        <v>53</v>
      </c>
      <c r="B69" t="s">
        <v>118</v>
      </c>
    </row>
    <row r="70" spans="1:2" x14ac:dyDescent="0.35">
      <c r="A70">
        <v>54</v>
      </c>
      <c r="B70" t="s">
        <v>119</v>
      </c>
    </row>
    <row r="71" spans="1:2" x14ac:dyDescent="0.35">
      <c r="A71">
        <v>55</v>
      </c>
      <c r="B71" t="s">
        <v>120</v>
      </c>
    </row>
    <row r="72" spans="1:2" x14ac:dyDescent="0.35">
      <c r="A72">
        <v>56</v>
      </c>
      <c r="B72" t="s">
        <v>121</v>
      </c>
    </row>
    <row r="73" spans="1:2" x14ac:dyDescent="0.35">
      <c r="A73">
        <v>57</v>
      </c>
      <c r="B73" t="s">
        <v>133</v>
      </c>
    </row>
    <row r="74" spans="1:2" x14ac:dyDescent="0.35">
      <c r="A74">
        <v>58</v>
      </c>
      <c r="B74" t="s">
        <v>122</v>
      </c>
    </row>
    <row r="75" spans="1:2" x14ac:dyDescent="0.35">
      <c r="A75">
        <v>59</v>
      </c>
      <c r="B75" t="s">
        <v>123</v>
      </c>
    </row>
    <row r="76" spans="1:2" x14ac:dyDescent="0.35">
      <c r="A76">
        <v>60</v>
      </c>
      <c r="B76" t="s">
        <v>135</v>
      </c>
    </row>
    <row r="77" spans="1:2" x14ac:dyDescent="0.35">
      <c r="A77">
        <v>61</v>
      </c>
      <c r="B77" t="s">
        <v>136</v>
      </c>
    </row>
    <row r="78" spans="1:2" x14ac:dyDescent="0.35">
      <c r="A78">
        <v>62</v>
      </c>
      <c r="B78" t="s">
        <v>137</v>
      </c>
    </row>
    <row r="79" spans="1:2" x14ac:dyDescent="0.35">
      <c r="A79">
        <v>63</v>
      </c>
      <c r="B79" t="s">
        <v>303</v>
      </c>
    </row>
    <row r="80" spans="1:2" x14ac:dyDescent="0.35">
      <c r="A80">
        <v>64</v>
      </c>
      <c r="B80" t="s">
        <v>304</v>
      </c>
    </row>
    <row r="81" spans="1:2" x14ac:dyDescent="0.35">
      <c r="A81">
        <v>65</v>
      </c>
      <c r="B81" t="s">
        <v>148</v>
      </c>
    </row>
    <row r="82" spans="1:2" x14ac:dyDescent="0.35">
      <c r="A82">
        <v>66</v>
      </c>
      <c r="B82" t="s">
        <v>147</v>
      </c>
    </row>
    <row r="83" spans="1:2" x14ac:dyDescent="0.35">
      <c r="A83">
        <v>67</v>
      </c>
      <c r="B83" t="s">
        <v>305</v>
      </c>
    </row>
    <row r="84" spans="1:2" x14ac:dyDescent="0.35">
      <c r="A84">
        <v>68</v>
      </c>
      <c r="B84" t="s">
        <v>306</v>
      </c>
    </row>
    <row r="85" spans="1:2" x14ac:dyDescent="0.35">
      <c r="A85">
        <v>69</v>
      </c>
      <c r="B85" t="s">
        <v>146</v>
      </c>
    </row>
    <row r="86" spans="1:2" x14ac:dyDescent="0.35">
      <c r="A86">
        <v>70</v>
      </c>
      <c r="B86" t="s">
        <v>145</v>
      </c>
    </row>
    <row r="87" spans="1:2" x14ac:dyDescent="0.35">
      <c r="A87">
        <v>71</v>
      </c>
      <c r="B87" t="s">
        <v>307</v>
      </c>
    </row>
    <row r="88" spans="1:2" x14ac:dyDescent="0.35">
      <c r="A88">
        <v>72</v>
      </c>
      <c r="B88" t="s">
        <v>308</v>
      </c>
    </row>
    <row r="89" spans="1:2" x14ac:dyDescent="0.35">
      <c r="A89">
        <v>73</v>
      </c>
      <c r="B89" t="s">
        <v>144</v>
      </c>
    </row>
    <row r="90" spans="1:2" x14ac:dyDescent="0.35">
      <c r="A90">
        <v>74</v>
      </c>
      <c r="B90" t="s">
        <v>143</v>
      </c>
    </row>
    <row r="91" spans="1:2" x14ac:dyDescent="0.35">
      <c r="A91">
        <v>75</v>
      </c>
      <c r="B91" t="s">
        <v>309</v>
      </c>
    </row>
    <row r="92" spans="1:2" x14ac:dyDescent="0.35">
      <c r="A92">
        <v>76</v>
      </c>
      <c r="B92" t="s">
        <v>310</v>
      </c>
    </row>
    <row r="93" spans="1:2" x14ac:dyDescent="0.35">
      <c r="A93">
        <v>77</v>
      </c>
      <c r="B93" t="s">
        <v>142</v>
      </c>
    </row>
    <row r="94" spans="1:2" x14ac:dyDescent="0.35">
      <c r="A94">
        <v>78</v>
      </c>
      <c r="B94" t="s">
        <v>141</v>
      </c>
    </row>
    <row r="95" spans="1:2" x14ac:dyDescent="0.35">
      <c r="A95">
        <v>79</v>
      </c>
      <c r="B95" t="s">
        <v>326</v>
      </c>
    </row>
    <row r="96" spans="1:2" x14ac:dyDescent="0.35">
      <c r="A96">
        <v>80</v>
      </c>
      <c r="B96" t="s">
        <v>327</v>
      </c>
    </row>
    <row r="97" spans="1:2" x14ac:dyDescent="0.35">
      <c r="A97">
        <v>81</v>
      </c>
      <c r="B97" t="s">
        <v>328</v>
      </c>
    </row>
    <row r="98" spans="1:2" x14ac:dyDescent="0.35">
      <c r="A98">
        <v>82</v>
      </c>
      <c r="B98" t="s">
        <v>329</v>
      </c>
    </row>
    <row r="99" spans="1:2" x14ac:dyDescent="0.35">
      <c r="A99">
        <v>83</v>
      </c>
      <c r="B99" t="s">
        <v>330</v>
      </c>
    </row>
    <row r="100" spans="1:2" x14ac:dyDescent="0.35">
      <c r="A100">
        <v>84</v>
      </c>
      <c r="B100" t="s">
        <v>331</v>
      </c>
    </row>
    <row r="101" spans="1:2" x14ac:dyDescent="0.35">
      <c r="A101">
        <v>85</v>
      </c>
      <c r="B101" t="s">
        <v>332</v>
      </c>
    </row>
    <row r="102" spans="1:2" x14ac:dyDescent="0.35">
      <c r="A102">
        <v>86</v>
      </c>
      <c r="B102" t="s">
        <v>333</v>
      </c>
    </row>
    <row r="103" spans="1:2" x14ac:dyDescent="0.35">
      <c r="A103">
        <v>87</v>
      </c>
      <c r="B103" t="s">
        <v>334</v>
      </c>
    </row>
    <row r="104" spans="1:2" x14ac:dyDescent="0.35">
      <c r="A104">
        <v>88</v>
      </c>
      <c r="B104" t="s">
        <v>335</v>
      </c>
    </row>
    <row r="105" spans="1:2" x14ac:dyDescent="0.35">
      <c r="A105">
        <v>89</v>
      </c>
      <c r="B105" t="s">
        <v>336</v>
      </c>
    </row>
    <row r="106" spans="1:2" x14ac:dyDescent="0.35">
      <c r="A106">
        <v>90</v>
      </c>
      <c r="B106" t="s">
        <v>337</v>
      </c>
    </row>
    <row r="107" spans="1:2" x14ac:dyDescent="0.35">
      <c r="A107">
        <v>91</v>
      </c>
      <c r="B107" t="s">
        <v>338</v>
      </c>
    </row>
    <row r="108" spans="1:2" x14ac:dyDescent="0.35">
      <c r="A108">
        <v>92</v>
      </c>
      <c r="B108" t="s">
        <v>339</v>
      </c>
    </row>
    <row r="109" spans="1:2" x14ac:dyDescent="0.35">
      <c r="A109">
        <v>93</v>
      </c>
      <c r="B109" t="s">
        <v>367</v>
      </c>
    </row>
    <row r="110" spans="1:2" x14ac:dyDescent="0.35">
      <c r="A110">
        <v>94</v>
      </c>
      <c r="B110" t="s">
        <v>368</v>
      </c>
    </row>
    <row r="111" spans="1:2" x14ac:dyDescent="0.35">
      <c r="A111">
        <v>95</v>
      </c>
      <c r="B111" t="s">
        <v>369</v>
      </c>
    </row>
    <row r="112" spans="1:2" x14ac:dyDescent="0.35">
      <c r="A112">
        <v>96</v>
      </c>
      <c r="B112" t="s">
        <v>370</v>
      </c>
    </row>
    <row r="113" spans="1:2" x14ac:dyDescent="0.35">
      <c r="A113">
        <v>97</v>
      </c>
      <c r="B113" t="s">
        <v>371</v>
      </c>
    </row>
    <row r="114" spans="1:2" x14ac:dyDescent="0.35">
      <c r="A114">
        <v>98</v>
      </c>
      <c r="B114" t="s">
        <v>372</v>
      </c>
    </row>
    <row r="115" spans="1:2" x14ac:dyDescent="0.35">
      <c r="A115">
        <v>99</v>
      </c>
      <c r="B115" t="s">
        <v>373</v>
      </c>
    </row>
    <row r="116" spans="1:2" x14ac:dyDescent="0.35">
      <c r="A116">
        <v>100</v>
      </c>
      <c r="B116" t="s">
        <v>374</v>
      </c>
    </row>
    <row r="117" spans="1:2" x14ac:dyDescent="0.35">
      <c r="A117">
        <v>101</v>
      </c>
      <c r="B117" t="s">
        <v>375</v>
      </c>
    </row>
    <row r="118" spans="1:2" x14ac:dyDescent="0.35">
      <c r="A118">
        <v>102</v>
      </c>
      <c r="B118" t="s">
        <v>376</v>
      </c>
    </row>
    <row r="119" spans="1:2" x14ac:dyDescent="0.35">
      <c r="A119">
        <v>103</v>
      </c>
      <c r="B119" t="s">
        <v>377</v>
      </c>
    </row>
    <row r="120" spans="1:2" x14ac:dyDescent="0.35">
      <c r="A120">
        <v>104</v>
      </c>
      <c r="B120" t="s">
        <v>378</v>
      </c>
    </row>
    <row r="121" spans="1:2" x14ac:dyDescent="0.35">
      <c r="A121">
        <v>105</v>
      </c>
      <c r="B121" t="s">
        <v>379</v>
      </c>
    </row>
    <row r="122" spans="1:2" x14ac:dyDescent="0.35">
      <c r="A122">
        <v>106</v>
      </c>
      <c r="B122" t="s">
        <v>380</v>
      </c>
    </row>
    <row r="123" spans="1:2" x14ac:dyDescent="0.35">
      <c r="A123">
        <v>107</v>
      </c>
      <c r="B123" t="s">
        <v>381</v>
      </c>
    </row>
    <row r="124" spans="1:2" x14ac:dyDescent="0.35">
      <c r="A124">
        <v>108</v>
      </c>
      <c r="B124" t="s">
        <v>382</v>
      </c>
    </row>
    <row r="125" spans="1:2" x14ac:dyDescent="0.35">
      <c r="A125">
        <v>109</v>
      </c>
      <c r="B125" t="s">
        <v>383</v>
      </c>
    </row>
    <row r="126" spans="1:2" x14ac:dyDescent="0.35">
      <c r="A126">
        <v>110</v>
      </c>
      <c r="B126" t="s">
        <v>384</v>
      </c>
    </row>
    <row r="127" spans="1:2" x14ac:dyDescent="0.35">
      <c r="A127">
        <v>111</v>
      </c>
      <c r="B127" t="s">
        <v>385</v>
      </c>
    </row>
    <row r="128" spans="1:2" x14ac:dyDescent="0.35">
      <c r="A128">
        <v>112</v>
      </c>
      <c r="B128" t="s">
        <v>386</v>
      </c>
    </row>
    <row r="129" spans="1:2" x14ac:dyDescent="0.35">
      <c r="A129">
        <v>113</v>
      </c>
      <c r="B129" t="s">
        <v>387</v>
      </c>
    </row>
    <row r="130" spans="1:2" x14ac:dyDescent="0.35">
      <c r="A130">
        <v>114</v>
      </c>
      <c r="B130" t="s">
        <v>388</v>
      </c>
    </row>
    <row r="131" spans="1:2" x14ac:dyDescent="0.35">
      <c r="A131">
        <v>115</v>
      </c>
      <c r="B131" t="s">
        <v>389</v>
      </c>
    </row>
    <row r="132" spans="1:2" x14ac:dyDescent="0.35">
      <c r="A132">
        <v>116</v>
      </c>
      <c r="B132" t="s">
        <v>390</v>
      </c>
    </row>
    <row r="133" spans="1:2" x14ac:dyDescent="0.35">
      <c r="A133">
        <v>117</v>
      </c>
      <c r="B133" t="s">
        <v>391</v>
      </c>
    </row>
    <row r="134" spans="1:2" x14ac:dyDescent="0.35">
      <c r="A134">
        <v>118</v>
      </c>
      <c r="B134" t="s">
        <v>392</v>
      </c>
    </row>
    <row r="135" spans="1:2" x14ac:dyDescent="0.35">
      <c r="A135">
        <v>119</v>
      </c>
      <c r="B135" t="s">
        <v>393</v>
      </c>
    </row>
    <row r="136" spans="1:2" x14ac:dyDescent="0.35">
      <c r="A136">
        <v>120</v>
      </c>
      <c r="B136" t="s">
        <v>394</v>
      </c>
    </row>
    <row r="137" spans="1:2" x14ac:dyDescent="0.35">
      <c r="A137">
        <v>121</v>
      </c>
      <c r="B137" t="s">
        <v>395</v>
      </c>
    </row>
    <row r="138" spans="1:2" x14ac:dyDescent="0.35">
      <c r="A138">
        <v>122</v>
      </c>
      <c r="B138" t="s">
        <v>396</v>
      </c>
    </row>
    <row r="139" spans="1:2" x14ac:dyDescent="0.35">
      <c r="A139">
        <v>123</v>
      </c>
      <c r="B139" t="s">
        <v>397</v>
      </c>
    </row>
    <row r="140" spans="1:2" x14ac:dyDescent="0.35">
      <c r="A140">
        <v>124</v>
      </c>
      <c r="B140" t="s">
        <v>398</v>
      </c>
    </row>
    <row r="141" spans="1:2" x14ac:dyDescent="0.35">
      <c r="A141">
        <v>125</v>
      </c>
      <c r="B141" t="s">
        <v>399</v>
      </c>
    </row>
    <row r="142" spans="1:2" x14ac:dyDescent="0.35">
      <c r="A142">
        <v>126</v>
      </c>
      <c r="B142" t="s">
        <v>400</v>
      </c>
    </row>
    <row r="143" spans="1:2" x14ac:dyDescent="0.35">
      <c r="A143">
        <v>127</v>
      </c>
      <c r="B143" t="s">
        <v>401</v>
      </c>
    </row>
    <row r="144" spans="1:2" x14ac:dyDescent="0.35">
      <c r="A144">
        <v>128</v>
      </c>
      <c r="B144" t="s">
        <v>402</v>
      </c>
    </row>
    <row r="145" spans="1:2" x14ac:dyDescent="0.35">
      <c r="A145">
        <v>129</v>
      </c>
      <c r="B145" t="s">
        <v>403</v>
      </c>
    </row>
    <row r="146" spans="1:2" x14ac:dyDescent="0.35">
      <c r="A146">
        <v>130</v>
      </c>
      <c r="B146" t="s">
        <v>404</v>
      </c>
    </row>
    <row r="147" spans="1:2" x14ac:dyDescent="0.35">
      <c r="A147">
        <v>131</v>
      </c>
      <c r="B147" t="s">
        <v>405</v>
      </c>
    </row>
    <row r="148" spans="1:2" x14ac:dyDescent="0.35">
      <c r="A148">
        <v>132</v>
      </c>
      <c r="B148" t="s">
        <v>406</v>
      </c>
    </row>
    <row r="149" spans="1:2" x14ac:dyDescent="0.35">
      <c r="A149">
        <v>133</v>
      </c>
      <c r="B149" t="s">
        <v>407</v>
      </c>
    </row>
    <row r="150" spans="1:2" x14ac:dyDescent="0.35">
      <c r="A150">
        <v>134</v>
      </c>
      <c r="B150" t="s">
        <v>408</v>
      </c>
    </row>
    <row r="151" spans="1:2" x14ac:dyDescent="0.35">
      <c r="A151">
        <v>135</v>
      </c>
      <c r="B151" t="s">
        <v>409</v>
      </c>
    </row>
    <row r="152" spans="1:2" x14ac:dyDescent="0.35">
      <c r="A152">
        <v>136</v>
      </c>
      <c r="B152" t="s">
        <v>410</v>
      </c>
    </row>
    <row r="153" spans="1:2" x14ac:dyDescent="0.35">
      <c r="A153">
        <v>137</v>
      </c>
      <c r="B153" t="s">
        <v>411</v>
      </c>
    </row>
    <row r="154" spans="1:2" x14ac:dyDescent="0.35">
      <c r="A154">
        <v>138</v>
      </c>
      <c r="B154" t="s">
        <v>412</v>
      </c>
    </row>
    <row r="155" spans="1:2" x14ac:dyDescent="0.35">
      <c r="A155">
        <v>139</v>
      </c>
      <c r="B155" t="s">
        <v>413</v>
      </c>
    </row>
    <row r="156" spans="1:2" x14ac:dyDescent="0.35">
      <c r="A156">
        <v>140</v>
      </c>
      <c r="B156" t="s">
        <v>414</v>
      </c>
    </row>
    <row r="157" spans="1:2" x14ac:dyDescent="0.35">
      <c r="A157">
        <v>141</v>
      </c>
      <c r="B157" t="s">
        <v>415</v>
      </c>
    </row>
    <row r="158" spans="1:2" x14ac:dyDescent="0.35">
      <c r="A158">
        <v>142</v>
      </c>
      <c r="B158" t="s">
        <v>416</v>
      </c>
    </row>
    <row r="159" spans="1:2" x14ac:dyDescent="0.35">
      <c r="A159">
        <v>143</v>
      </c>
      <c r="B159" t="s">
        <v>417</v>
      </c>
    </row>
    <row r="160" spans="1:2" x14ac:dyDescent="0.35">
      <c r="A160">
        <v>144</v>
      </c>
      <c r="B160" t="s">
        <v>418</v>
      </c>
    </row>
    <row r="161" spans="1:2" x14ac:dyDescent="0.35">
      <c r="A161">
        <v>145</v>
      </c>
      <c r="B161" t="s">
        <v>419</v>
      </c>
    </row>
    <row r="162" spans="1:2" x14ac:dyDescent="0.35">
      <c r="A162">
        <v>146</v>
      </c>
      <c r="B162" t="s">
        <v>420</v>
      </c>
    </row>
    <row r="163" spans="1:2" x14ac:dyDescent="0.35">
      <c r="A163">
        <v>147</v>
      </c>
      <c r="B163" t="s">
        <v>421</v>
      </c>
    </row>
    <row r="164" spans="1:2" x14ac:dyDescent="0.35">
      <c r="A164">
        <v>148</v>
      </c>
      <c r="B164" t="s">
        <v>422</v>
      </c>
    </row>
    <row r="165" spans="1:2" x14ac:dyDescent="0.35">
      <c r="A165">
        <v>149</v>
      </c>
      <c r="B165" t="s">
        <v>423</v>
      </c>
    </row>
    <row r="166" spans="1:2" x14ac:dyDescent="0.35">
      <c r="A166">
        <v>150</v>
      </c>
      <c r="B166" t="s">
        <v>424</v>
      </c>
    </row>
    <row r="167" spans="1:2" x14ac:dyDescent="0.35">
      <c r="A167">
        <v>151</v>
      </c>
      <c r="B167" t="s">
        <v>425</v>
      </c>
    </row>
    <row r="168" spans="1:2" x14ac:dyDescent="0.35">
      <c r="A168">
        <v>152</v>
      </c>
      <c r="B168" t="s">
        <v>426</v>
      </c>
    </row>
    <row r="169" spans="1:2" x14ac:dyDescent="0.35">
      <c r="A169">
        <v>153</v>
      </c>
      <c r="B169" t="s">
        <v>427</v>
      </c>
    </row>
    <row r="170" spans="1:2" x14ac:dyDescent="0.35">
      <c r="A170">
        <v>154</v>
      </c>
      <c r="B170" t="s">
        <v>428</v>
      </c>
    </row>
    <row r="171" spans="1:2" x14ac:dyDescent="0.35">
      <c r="A171">
        <v>155</v>
      </c>
      <c r="B171" t="s">
        <v>429</v>
      </c>
    </row>
    <row r="172" spans="1:2" x14ac:dyDescent="0.35">
      <c r="A172">
        <v>156</v>
      </c>
      <c r="B172" t="s">
        <v>430</v>
      </c>
    </row>
    <row r="173" spans="1:2" x14ac:dyDescent="0.35">
      <c r="A173">
        <v>157</v>
      </c>
      <c r="B173" t="s">
        <v>431</v>
      </c>
    </row>
    <row r="174" spans="1:2" x14ac:dyDescent="0.35">
      <c r="A174">
        <v>158</v>
      </c>
      <c r="B174" t="s">
        <v>432</v>
      </c>
    </row>
    <row r="175" spans="1:2" x14ac:dyDescent="0.35">
      <c r="A175">
        <v>159</v>
      </c>
      <c r="B175" t="s">
        <v>433</v>
      </c>
    </row>
    <row r="176" spans="1:2" x14ac:dyDescent="0.35">
      <c r="A176">
        <v>160</v>
      </c>
      <c r="B176" t="s">
        <v>434</v>
      </c>
    </row>
    <row r="177" spans="1:2" x14ac:dyDescent="0.35">
      <c r="A177">
        <v>161</v>
      </c>
      <c r="B177" t="s">
        <v>435</v>
      </c>
    </row>
    <row r="178" spans="1:2" x14ac:dyDescent="0.35">
      <c r="A178">
        <v>162</v>
      </c>
      <c r="B178" t="s">
        <v>436</v>
      </c>
    </row>
    <row r="179" spans="1:2" x14ac:dyDescent="0.35">
      <c r="A179">
        <v>163</v>
      </c>
      <c r="B179" t="s">
        <v>437</v>
      </c>
    </row>
    <row r="180" spans="1:2" x14ac:dyDescent="0.35">
      <c r="A180">
        <v>164</v>
      </c>
      <c r="B180" t="s">
        <v>438</v>
      </c>
    </row>
    <row r="181" spans="1:2" x14ac:dyDescent="0.35">
      <c r="A181">
        <v>165</v>
      </c>
      <c r="B181" t="s">
        <v>439</v>
      </c>
    </row>
    <row r="182" spans="1:2" x14ac:dyDescent="0.35">
      <c r="A182">
        <v>166</v>
      </c>
      <c r="B182" t="s">
        <v>440</v>
      </c>
    </row>
    <row r="183" spans="1:2" x14ac:dyDescent="0.35">
      <c r="A183">
        <v>167</v>
      </c>
      <c r="B183" t="s">
        <v>441</v>
      </c>
    </row>
    <row r="184" spans="1:2" x14ac:dyDescent="0.35">
      <c r="A184">
        <v>168</v>
      </c>
      <c r="B184" t="s">
        <v>442</v>
      </c>
    </row>
    <row r="185" spans="1:2" x14ac:dyDescent="0.35">
      <c r="A185">
        <v>169</v>
      </c>
      <c r="B185" t="s">
        <v>443</v>
      </c>
    </row>
    <row r="186" spans="1:2" x14ac:dyDescent="0.35">
      <c r="A186">
        <v>170</v>
      </c>
      <c r="B186" t="s">
        <v>444</v>
      </c>
    </row>
    <row r="187" spans="1:2" x14ac:dyDescent="0.35">
      <c r="A187">
        <v>171</v>
      </c>
      <c r="B187" t="s">
        <v>445</v>
      </c>
    </row>
    <row r="188" spans="1:2" x14ac:dyDescent="0.35">
      <c r="A188">
        <v>172</v>
      </c>
      <c r="B188" t="s">
        <v>446</v>
      </c>
    </row>
    <row r="189" spans="1:2" x14ac:dyDescent="0.35">
      <c r="A189">
        <v>173</v>
      </c>
      <c r="B189" t="s">
        <v>447</v>
      </c>
    </row>
    <row r="190" spans="1:2" x14ac:dyDescent="0.35">
      <c r="A190">
        <v>174</v>
      </c>
      <c r="B190" t="s">
        <v>448</v>
      </c>
    </row>
    <row r="191" spans="1:2" x14ac:dyDescent="0.35">
      <c r="A191">
        <v>175</v>
      </c>
      <c r="B191" t="s">
        <v>449</v>
      </c>
    </row>
    <row r="192" spans="1:2" x14ac:dyDescent="0.35">
      <c r="A192">
        <v>176</v>
      </c>
      <c r="B192" t="s">
        <v>450</v>
      </c>
    </row>
    <row r="193" spans="1:2" x14ac:dyDescent="0.35">
      <c r="A193">
        <v>177</v>
      </c>
      <c r="B193" t="s">
        <v>451</v>
      </c>
    </row>
    <row r="194" spans="1:2" x14ac:dyDescent="0.35">
      <c r="A194">
        <v>178</v>
      </c>
      <c r="B194" t="s">
        <v>452</v>
      </c>
    </row>
    <row r="195" spans="1:2" x14ac:dyDescent="0.35">
      <c r="A195">
        <v>179</v>
      </c>
      <c r="B195" t="s">
        <v>453</v>
      </c>
    </row>
    <row r="196" spans="1:2" x14ac:dyDescent="0.35">
      <c r="A196">
        <v>180</v>
      </c>
      <c r="B196" t="s">
        <v>454</v>
      </c>
    </row>
    <row r="197" spans="1:2" x14ac:dyDescent="0.35">
      <c r="A197">
        <v>181</v>
      </c>
      <c r="B197" t="s">
        <v>455</v>
      </c>
    </row>
    <row r="198" spans="1:2" x14ac:dyDescent="0.35">
      <c r="A198">
        <v>182</v>
      </c>
      <c r="B198" t="s">
        <v>456</v>
      </c>
    </row>
    <row r="199" spans="1:2" x14ac:dyDescent="0.35">
      <c r="A199">
        <v>183</v>
      </c>
      <c r="B199" t="s">
        <v>457</v>
      </c>
    </row>
    <row r="200" spans="1:2" x14ac:dyDescent="0.35">
      <c r="A200">
        <v>184</v>
      </c>
      <c r="B200" t="s">
        <v>458</v>
      </c>
    </row>
    <row r="201" spans="1:2" x14ac:dyDescent="0.35">
      <c r="A201">
        <v>185</v>
      </c>
      <c r="B201" t="s">
        <v>459</v>
      </c>
    </row>
    <row r="202" spans="1:2" x14ac:dyDescent="0.35">
      <c r="A202">
        <v>186</v>
      </c>
      <c r="B202" t="s">
        <v>460</v>
      </c>
    </row>
    <row r="203" spans="1:2" x14ac:dyDescent="0.35">
      <c r="A203">
        <v>187</v>
      </c>
      <c r="B203" t="s">
        <v>461</v>
      </c>
    </row>
    <row r="204" spans="1:2" x14ac:dyDescent="0.35">
      <c r="A204">
        <v>188</v>
      </c>
      <c r="B204" t="s">
        <v>462</v>
      </c>
    </row>
    <row r="205" spans="1:2" x14ac:dyDescent="0.35">
      <c r="A205">
        <v>189</v>
      </c>
      <c r="B205" t="s">
        <v>463</v>
      </c>
    </row>
    <row r="206" spans="1:2" x14ac:dyDescent="0.35">
      <c r="A206">
        <v>190</v>
      </c>
      <c r="B206" t="s">
        <v>464</v>
      </c>
    </row>
    <row r="207" spans="1:2" x14ac:dyDescent="0.35">
      <c r="A207">
        <v>191</v>
      </c>
      <c r="B207" t="s">
        <v>465</v>
      </c>
    </row>
    <row r="208" spans="1:2" x14ac:dyDescent="0.35">
      <c r="A208">
        <v>192</v>
      </c>
      <c r="B208" t="s">
        <v>466</v>
      </c>
    </row>
    <row r="209" spans="1:2" x14ac:dyDescent="0.35">
      <c r="A209">
        <v>193</v>
      </c>
      <c r="B209" t="s">
        <v>467</v>
      </c>
    </row>
    <row r="210" spans="1:2" x14ac:dyDescent="0.35">
      <c r="A210">
        <v>194</v>
      </c>
      <c r="B210" t="s">
        <v>468</v>
      </c>
    </row>
    <row r="211" spans="1:2" x14ac:dyDescent="0.35">
      <c r="A211">
        <v>195</v>
      </c>
      <c r="B211" t="s">
        <v>469</v>
      </c>
    </row>
    <row r="212" spans="1:2" x14ac:dyDescent="0.35">
      <c r="A212">
        <v>196</v>
      </c>
      <c r="B212" t="s">
        <v>470</v>
      </c>
    </row>
    <row r="213" spans="1:2" x14ac:dyDescent="0.35">
      <c r="A213">
        <v>197</v>
      </c>
      <c r="B213" t="s">
        <v>471</v>
      </c>
    </row>
    <row r="214" spans="1:2" x14ac:dyDescent="0.35">
      <c r="A214">
        <v>198</v>
      </c>
      <c r="B214" t="s">
        <v>472</v>
      </c>
    </row>
    <row r="215" spans="1:2" x14ac:dyDescent="0.35">
      <c r="A215">
        <v>199</v>
      </c>
      <c r="B215" t="s">
        <v>473</v>
      </c>
    </row>
    <row r="216" spans="1:2" x14ac:dyDescent="0.35">
      <c r="A216">
        <v>200</v>
      </c>
      <c r="B216" t="s">
        <v>474</v>
      </c>
    </row>
    <row r="217" spans="1:2" x14ac:dyDescent="0.35">
      <c r="A217">
        <v>201</v>
      </c>
      <c r="B217" t="s">
        <v>475</v>
      </c>
    </row>
    <row r="218" spans="1:2" x14ac:dyDescent="0.35">
      <c r="A218">
        <v>202</v>
      </c>
      <c r="B218" t="s">
        <v>476</v>
      </c>
    </row>
    <row r="219" spans="1:2" x14ac:dyDescent="0.35">
      <c r="A219">
        <v>203</v>
      </c>
      <c r="B219" t="s">
        <v>477</v>
      </c>
    </row>
    <row r="220" spans="1:2" x14ac:dyDescent="0.35">
      <c r="A220">
        <v>204</v>
      </c>
      <c r="B220" t="s">
        <v>478</v>
      </c>
    </row>
    <row r="221" spans="1:2" x14ac:dyDescent="0.35">
      <c r="A221">
        <v>205</v>
      </c>
      <c r="B221" t="s">
        <v>479</v>
      </c>
    </row>
    <row r="222" spans="1:2" x14ac:dyDescent="0.35">
      <c r="A222">
        <v>206</v>
      </c>
      <c r="B222" t="s">
        <v>480</v>
      </c>
    </row>
    <row r="223" spans="1:2" x14ac:dyDescent="0.35">
      <c r="A223">
        <v>207</v>
      </c>
      <c r="B223" t="s">
        <v>481</v>
      </c>
    </row>
    <row r="224" spans="1:2" x14ac:dyDescent="0.35">
      <c r="A224">
        <v>208</v>
      </c>
      <c r="B224" t="s">
        <v>482</v>
      </c>
    </row>
    <row r="225" spans="1:2" x14ac:dyDescent="0.35">
      <c r="A225">
        <v>209</v>
      </c>
      <c r="B225" t="s">
        <v>483</v>
      </c>
    </row>
    <row r="226" spans="1:2" x14ac:dyDescent="0.35">
      <c r="A226">
        <v>210</v>
      </c>
      <c r="B226" t="s">
        <v>484</v>
      </c>
    </row>
    <row r="227" spans="1:2" x14ac:dyDescent="0.35">
      <c r="A227">
        <v>211</v>
      </c>
      <c r="B227" t="s">
        <v>485</v>
      </c>
    </row>
    <row r="228" spans="1:2" x14ac:dyDescent="0.35">
      <c r="A228">
        <v>212</v>
      </c>
      <c r="B228" t="s">
        <v>486</v>
      </c>
    </row>
    <row r="229" spans="1:2" x14ac:dyDescent="0.35">
      <c r="A229">
        <v>213</v>
      </c>
      <c r="B229" t="s">
        <v>487</v>
      </c>
    </row>
    <row r="230" spans="1:2" x14ac:dyDescent="0.35">
      <c r="A230">
        <v>214</v>
      </c>
      <c r="B230" t="s">
        <v>488</v>
      </c>
    </row>
    <row r="231" spans="1:2" x14ac:dyDescent="0.35">
      <c r="A231">
        <v>215</v>
      </c>
      <c r="B231" t="s">
        <v>489</v>
      </c>
    </row>
    <row r="232" spans="1:2" x14ac:dyDescent="0.35">
      <c r="A232">
        <v>216</v>
      </c>
      <c r="B232" t="s">
        <v>490</v>
      </c>
    </row>
    <row r="233" spans="1:2" x14ac:dyDescent="0.35">
      <c r="A233">
        <v>217</v>
      </c>
      <c r="B233" t="s">
        <v>491</v>
      </c>
    </row>
    <row r="234" spans="1:2" x14ac:dyDescent="0.35">
      <c r="A234">
        <v>218</v>
      </c>
      <c r="B234" t="s">
        <v>492</v>
      </c>
    </row>
    <row r="235" spans="1:2" x14ac:dyDescent="0.35">
      <c r="A235">
        <v>219</v>
      </c>
      <c r="B235" t="s">
        <v>493</v>
      </c>
    </row>
    <row r="236" spans="1:2" x14ac:dyDescent="0.35">
      <c r="A236">
        <v>220</v>
      </c>
      <c r="B236" t="s">
        <v>494</v>
      </c>
    </row>
    <row r="237" spans="1:2" x14ac:dyDescent="0.35">
      <c r="A237">
        <v>221</v>
      </c>
      <c r="B237" t="s">
        <v>495</v>
      </c>
    </row>
    <row r="238" spans="1:2" x14ac:dyDescent="0.35">
      <c r="A238">
        <v>222</v>
      </c>
      <c r="B238" t="s">
        <v>496</v>
      </c>
    </row>
    <row r="239" spans="1:2" x14ac:dyDescent="0.35">
      <c r="A239">
        <v>223</v>
      </c>
      <c r="B239" t="s">
        <v>497</v>
      </c>
    </row>
    <row r="240" spans="1:2" x14ac:dyDescent="0.35">
      <c r="A240">
        <v>224</v>
      </c>
      <c r="B240" t="s">
        <v>498</v>
      </c>
    </row>
    <row r="241" spans="1:2" x14ac:dyDescent="0.35">
      <c r="A241">
        <v>225</v>
      </c>
      <c r="B241" t="s">
        <v>499</v>
      </c>
    </row>
    <row r="242" spans="1:2" x14ac:dyDescent="0.35">
      <c r="A242">
        <v>226</v>
      </c>
      <c r="B242" t="s">
        <v>500</v>
      </c>
    </row>
    <row r="243" spans="1:2" x14ac:dyDescent="0.35">
      <c r="A243">
        <v>227</v>
      </c>
      <c r="B243" t="s">
        <v>501</v>
      </c>
    </row>
    <row r="244" spans="1:2" x14ac:dyDescent="0.35">
      <c r="A244">
        <v>228</v>
      </c>
      <c r="B244" t="s">
        <v>502</v>
      </c>
    </row>
    <row r="245" spans="1:2" x14ac:dyDescent="0.35">
      <c r="A245">
        <v>229</v>
      </c>
      <c r="B245" t="s">
        <v>503</v>
      </c>
    </row>
    <row r="246" spans="1:2" x14ac:dyDescent="0.35">
      <c r="A246">
        <v>230</v>
      </c>
      <c r="B246" t="s">
        <v>504</v>
      </c>
    </row>
    <row r="247" spans="1:2" x14ac:dyDescent="0.35">
      <c r="A247">
        <v>231</v>
      </c>
      <c r="B247" t="s">
        <v>505</v>
      </c>
    </row>
    <row r="248" spans="1:2" x14ac:dyDescent="0.35">
      <c r="A248">
        <v>232</v>
      </c>
      <c r="B248" t="s">
        <v>506</v>
      </c>
    </row>
    <row r="249" spans="1:2" x14ac:dyDescent="0.35">
      <c r="A249">
        <v>233</v>
      </c>
      <c r="B249" t="s">
        <v>507</v>
      </c>
    </row>
    <row r="250" spans="1:2" x14ac:dyDescent="0.35">
      <c r="A250">
        <v>234</v>
      </c>
      <c r="B250" t="s">
        <v>508</v>
      </c>
    </row>
    <row r="251" spans="1:2" x14ac:dyDescent="0.35">
      <c r="A251">
        <v>235</v>
      </c>
      <c r="B251" t="s">
        <v>509</v>
      </c>
    </row>
    <row r="252" spans="1:2" x14ac:dyDescent="0.35">
      <c r="A252">
        <v>236</v>
      </c>
      <c r="B252" t="s">
        <v>510</v>
      </c>
    </row>
    <row r="253" spans="1:2" x14ac:dyDescent="0.35">
      <c r="A253">
        <v>237</v>
      </c>
      <c r="B253" t="s">
        <v>511</v>
      </c>
    </row>
    <row r="254" spans="1:2" x14ac:dyDescent="0.35">
      <c r="A254">
        <v>238</v>
      </c>
      <c r="B254" t="s">
        <v>512</v>
      </c>
    </row>
    <row r="255" spans="1:2" x14ac:dyDescent="0.35">
      <c r="A255">
        <v>239</v>
      </c>
      <c r="B255" t="s">
        <v>513</v>
      </c>
    </row>
    <row r="256" spans="1:2" x14ac:dyDescent="0.35">
      <c r="A256">
        <v>240</v>
      </c>
      <c r="B256" t="s">
        <v>514</v>
      </c>
    </row>
    <row r="257" spans="1:2" x14ac:dyDescent="0.35">
      <c r="A257">
        <v>241</v>
      </c>
      <c r="B257" t="s">
        <v>515</v>
      </c>
    </row>
    <row r="258" spans="1:2" x14ac:dyDescent="0.35">
      <c r="A258">
        <v>242</v>
      </c>
      <c r="B258" t="s">
        <v>516</v>
      </c>
    </row>
    <row r="259" spans="1:2" x14ac:dyDescent="0.35">
      <c r="A259">
        <v>243</v>
      </c>
      <c r="B259" t="s">
        <v>517</v>
      </c>
    </row>
    <row r="260" spans="1:2" x14ac:dyDescent="0.35">
      <c r="A260">
        <v>244</v>
      </c>
      <c r="B260" t="s">
        <v>518</v>
      </c>
    </row>
    <row r="261" spans="1:2" x14ac:dyDescent="0.35">
      <c r="A261">
        <v>245</v>
      </c>
      <c r="B261" t="s">
        <v>519</v>
      </c>
    </row>
    <row r="262" spans="1:2" x14ac:dyDescent="0.35">
      <c r="A262">
        <v>246</v>
      </c>
      <c r="B262" t="s">
        <v>520</v>
      </c>
    </row>
    <row r="263" spans="1:2" x14ac:dyDescent="0.35">
      <c r="A263">
        <v>247</v>
      </c>
      <c r="B263" t="s">
        <v>521</v>
      </c>
    </row>
    <row r="264" spans="1:2" x14ac:dyDescent="0.35">
      <c r="A264">
        <v>248</v>
      </c>
      <c r="B264" t="s">
        <v>522</v>
      </c>
    </row>
    <row r="265" spans="1:2" x14ac:dyDescent="0.35">
      <c r="A265">
        <v>249</v>
      </c>
      <c r="B265" t="s">
        <v>523</v>
      </c>
    </row>
    <row r="266" spans="1:2" x14ac:dyDescent="0.35">
      <c r="A266">
        <v>250</v>
      </c>
      <c r="B266" t="s">
        <v>524</v>
      </c>
    </row>
    <row r="267" spans="1:2" x14ac:dyDescent="0.35">
      <c r="A267">
        <v>251</v>
      </c>
      <c r="B267" t="s">
        <v>525</v>
      </c>
    </row>
    <row r="268" spans="1:2" x14ac:dyDescent="0.35">
      <c r="A268">
        <v>252</v>
      </c>
      <c r="B268" t="s">
        <v>526</v>
      </c>
    </row>
    <row r="269" spans="1:2" x14ac:dyDescent="0.35">
      <c r="A269">
        <v>253</v>
      </c>
      <c r="B269" t="s">
        <v>527</v>
      </c>
    </row>
    <row r="270" spans="1:2" x14ac:dyDescent="0.35">
      <c r="A270">
        <v>254</v>
      </c>
      <c r="B270" t="s">
        <v>528</v>
      </c>
    </row>
    <row r="271" spans="1:2" x14ac:dyDescent="0.35">
      <c r="A271">
        <v>255</v>
      </c>
      <c r="B271" t="s">
        <v>529</v>
      </c>
    </row>
    <row r="272" spans="1:2" x14ac:dyDescent="0.35">
      <c r="A272">
        <v>256</v>
      </c>
      <c r="B272" t="s">
        <v>530</v>
      </c>
    </row>
    <row r="273" spans="1:2" x14ac:dyDescent="0.35">
      <c r="A273">
        <v>257</v>
      </c>
      <c r="B273" t="s">
        <v>531</v>
      </c>
    </row>
    <row r="274" spans="1:2" x14ac:dyDescent="0.35">
      <c r="A274">
        <v>258</v>
      </c>
      <c r="B274" t="s">
        <v>532</v>
      </c>
    </row>
    <row r="275" spans="1:2" x14ac:dyDescent="0.35">
      <c r="A275">
        <v>259</v>
      </c>
      <c r="B275" t="s">
        <v>533</v>
      </c>
    </row>
    <row r="276" spans="1:2" x14ac:dyDescent="0.35">
      <c r="A276">
        <v>260</v>
      </c>
      <c r="B276" t="s">
        <v>534</v>
      </c>
    </row>
    <row r="277" spans="1:2" x14ac:dyDescent="0.35">
      <c r="A277">
        <v>261</v>
      </c>
      <c r="B277" t="s">
        <v>535</v>
      </c>
    </row>
    <row r="278" spans="1:2" x14ac:dyDescent="0.35">
      <c r="A278">
        <v>262</v>
      </c>
      <c r="B278" t="s">
        <v>536</v>
      </c>
    </row>
    <row r="279" spans="1:2" x14ac:dyDescent="0.35">
      <c r="A279">
        <v>263</v>
      </c>
      <c r="B279" t="s">
        <v>537</v>
      </c>
    </row>
    <row r="280" spans="1:2" x14ac:dyDescent="0.35">
      <c r="A280">
        <v>264</v>
      </c>
      <c r="B280" t="s">
        <v>538</v>
      </c>
    </row>
    <row r="281" spans="1:2" x14ac:dyDescent="0.35">
      <c r="A281">
        <v>265</v>
      </c>
      <c r="B281" t="s">
        <v>539</v>
      </c>
    </row>
    <row r="282" spans="1:2" x14ac:dyDescent="0.35">
      <c r="A282">
        <v>266</v>
      </c>
      <c r="B282" t="s">
        <v>540</v>
      </c>
    </row>
    <row r="283" spans="1:2" x14ac:dyDescent="0.35">
      <c r="A283">
        <v>267</v>
      </c>
      <c r="B283" t="s">
        <v>541</v>
      </c>
    </row>
    <row r="284" spans="1:2" x14ac:dyDescent="0.35">
      <c r="A284">
        <v>268</v>
      </c>
      <c r="B284" t="s">
        <v>542</v>
      </c>
    </row>
    <row r="285" spans="1:2" x14ac:dyDescent="0.35">
      <c r="A285">
        <v>269</v>
      </c>
      <c r="B285" t="s">
        <v>543</v>
      </c>
    </row>
    <row r="286" spans="1:2" x14ac:dyDescent="0.35">
      <c r="A286">
        <v>270</v>
      </c>
      <c r="B286" t="s">
        <v>544</v>
      </c>
    </row>
    <row r="287" spans="1:2" x14ac:dyDescent="0.35">
      <c r="A287">
        <v>271</v>
      </c>
      <c r="B287" t="s">
        <v>545</v>
      </c>
    </row>
    <row r="288" spans="1:2" x14ac:dyDescent="0.35">
      <c r="A288">
        <v>272</v>
      </c>
      <c r="B288" t="s">
        <v>546</v>
      </c>
    </row>
    <row r="289" spans="1:2" x14ac:dyDescent="0.35">
      <c r="A289">
        <v>273</v>
      </c>
      <c r="B289" t="s">
        <v>547</v>
      </c>
    </row>
    <row r="290" spans="1:2" x14ac:dyDescent="0.35">
      <c r="A290">
        <v>274</v>
      </c>
      <c r="B290" t="s">
        <v>548</v>
      </c>
    </row>
    <row r="291" spans="1:2" x14ac:dyDescent="0.35">
      <c r="A291">
        <v>275</v>
      </c>
      <c r="B291" t="s">
        <v>549</v>
      </c>
    </row>
    <row r="292" spans="1:2" x14ac:dyDescent="0.35">
      <c r="A292">
        <v>276</v>
      </c>
      <c r="B292" t="s">
        <v>550</v>
      </c>
    </row>
    <row r="293" spans="1:2" x14ac:dyDescent="0.35">
      <c r="A293">
        <v>277</v>
      </c>
      <c r="B293" t="s">
        <v>551</v>
      </c>
    </row>
    <row r="294" spans="1:2" x14ac:dyDescent="0.35">
      <c r="A294">
        <v>278</v>
      </c>
      <c r="B294" t="s">
        <v>552</v>
      </c>
    </row>
    <row r="295" spans="1:2" x14ac:dyDescent="0.35">
      <c r="A295">
        <v>279</v>
      </c>
      <c r="B295" t="s">
        <v>553</v>
      </c>
    </row>
    <row r="296" spans="1:2" x14ac:dyDescent="0.35">
      <c r="A296">
        <v>280</v>
      </c>
      <c r="B296" t="s">
        <v>554</v>
      </c>
    </row>
    <row r="297" spans="1:2" x14ac:dyDescent="0.35">
      <c r="A297">
        <v>281</v>
      </c>
      <c r="B297" t="s">
        <v>555</v>
      </c>
    </row>
    <row r="298" spans="1:2" x14ac:dyDescent="0.35">
      <c r="A298">
        <v>282</v>
      </c>
      <c r="B298" t="s">
        <v>556</v>
      </c>
    </row>
    <row r="299" spans="1:2" x14ac:dyDescent="0.35">
      <c r="A299">
        <v>283</v>
      </c>
      <c r="B299" t="s">
        <v>557</v>
      </c>
    </row>
    <row r="300" spans="1:2" x14ac:dyDescent="0.35">
      <c r="A300">
        <v>284</v>
      </c>
      <c r="B300" t="s">
        <v>558</v>
      </c>
    </row>
    <row r="301" spans="1:2" x14ac:dyDescent="0.35">
      <c r="A301">
        <v>285</v>
      </c>
      <c r="B301" t="s">
        <v>559</v>
      </c>
    </row>
    <row r="302" spans="1:2" x14ac:dyDescent="0.35">
      <c r="A302">
        <v>286</v>
      </c>
      <c r="B302" t="s">
        <v>560</v>
      </c>
    </row>
    <row r="303" spans="1:2" x14ac:dyDescent="0.35">
      <c r="A303">
        <v>287</v>
      </c>
      <c r="B303" t="s">
        <v>561</v>
      </c>
    </row>
    <row r="304" spans="1:2" x14ac:dyDescent="0.35">
      <c r="A304">
        <v>288</v>
      </c>
      <c r="B304" t="s">
        <v>562</v>
      </c>
    </row>
    <row r="305" spans="1:2" x14ac:dyDescent="0.35">
      <c r="A305">
        <v>289</v>
      </c>
      <c r="B305" t="s">
        <v>563</v>
      </c>
    </row>
    <row r="306" spans="1:2" x14ac:dyDescent="0.35">
      <c r="A306">
        <v>290</v>
      </c>
      <c r="B306" t="s">
        <v>564</v>
      </c>
    </row>
    <row r="307" spans="1:2" x14ac:dyDescent="0.35">
      <c r="A307">
        <v>291</v>
      </c>
      <c r="B307" t="s">
        <v>565</v>
      </c>
    </row>
    <row r="308" spans="1:2" x14ac:dyDescent="0.35">
      <c r="A308">
        <v>292</v>
      </c>
      <c r="B308" t="s">
        <v>566</v>
      </c>
    </row>
    <row r="309" spans="1:2" x14ac:dyDescent="0.35">
      <c r="A309">
        <v>293</v>
      </c>
      <c r="B309" t="s">
        <v>567</v>
      </c>
    </row>
    <row r="310" spans="1:2" x14ac:dyDescent="0.35">
      <c r="A310">
        <v>294</v>
      </c>
      <c r="B310" t="s">
        <v>568</v>
      </c>
    </row>
    <row r="311" spans="1:2" x14ac:dyDescent="0.35">
      <c r="A311">
        <v>295</v>
      </c>
      <c r="B311" t="s">
        <v>569</v>
      </c>
    </row>
    <row r="312" spans="1:2" x14ac:dyDescent="0.35">
      <c r="A312">
        <v>296</v>
      </c>
      <c r="B312" t="s">
        <v>570</v>
      </c>
    </row>
    <row r="313" spans="1:2" x14ac:dyDescent="0.35">
      <c r="A313">
        <v>297</v>
      </c>
      <c r="B313" t="s">
        <v>571</v>
      </c>
    </row>
    <row r="314" spans="1:2" x14ac:dyDescent="0.35">
      <c r="A314">
        <v>298</v>
      </c>
      <c r="B314" t="s">
        <v>572</v>
      </c>
    </row>
    <row r="315" spans="1:2" x14ac:dyDescent="0.35">
      <c r="A315">
        <v>299</v>
      </c>
      <c r="B315" t="s">
        <v>573</v>
      </c>
    </row>
    <row r="316" spans="1:2" x14ac:dyDescent="0.35">
      <c r="A316">
        <v>300</v>
      </c>
      <c r="B316" t="s">
        <v>574</v>
      </c>
    </row>
    <row r="317" spans="1:2" x14ac:dyDescent="0.35">
      <c r="A317">
        <v>301</v>
      </c>
      <c r="B317" t="s">
        <v>575</v>
      </c>
    </row>
    <row r="318" spans="1:2" x14ac:dyDescent="0.35">
      <c r="A318">
        <v>302</v>
      </c>
      <c r="B318" t="s">
        <v>576</v>
      </c>
    </row>
    <row r="319" spans="1:2" x14ac:dyDescent="0.35">
      <c r="A319">
        <v>303</v>
      </c>
      <c r="B319" t="s">
        <v>577</v>
      </c>
    </row>
    <row r="320" spans="1:2" x14ac:dyDescent="0.35">
      <c r="A320">
        <v>304</v>
      </c>
      <c r="B320" t="s">
        <v>578</v>
      </c>
    </row>
    <row r="321" spans="1:2" x14ac:dyDescent="0.35">
      <c r="A321">
        <v>305</v>
      </c>
      <c r="B321" t="s">
        <v>579</v>
      </c>
    </row>
    <row r="322" spans="1:2" x14ac:dyDescent="0.35">
      <c r="A322">
        <v>306</v>
      </c>
      <c r="B322" t="s">
        <v>580</v>
      </c>
    </row>
    <row r="323" spans="1:2" x14ac:dyDescent="0.35">
      <c r="A323">
        <v>307</v>
      </c>
      <c r="B323" t="s">
        <v>581</v>
      </c>
    </row>
    <row r="324" spans="1:2" x14ac:dyDescent="0.35">
      <c r="A324">
        <v>308</v>
      </c>
      <c r="B324" t="s">
        <v>582</v>
      </c>
    </row>
    <row r="325" spans="1:2" x14ac:dyDescent="0.35">
      <c r="A325">
        <v>309</v>
      </c>
      <c r="B325" t="s">
        <v>583</v>
      </c>
    </row>
    <row r="326" spans="1:2" x14ac:dyDescent="0.35">
      <c r="A326">
        <v>310</v>
      </c>
      <c r="B326" t="s">
        <v>584</v>
      </c>
    </row>
    <row r="327" spans="1:2" x14ac:dyDescent="0.35">
      <c r="A327">
        <v>311</v>
      </c>
      <c r="B327" t="s">
        <v>585</v>
      </c>
    </row>
    <row r="328" spans="1:2" x14ac:dyDescent="0.35">
      <c r="A328">
        <v>312</v>
      </c>
      <c r="B328" t="s">
        <v>586</v>
      </c>
    </row>
    <row r="329" spans="1:2" x14ac:dyDescent="0.35">
      <c r="A329">
        <v>313</v>
      </c>
      <c r="B329" t="s">
        <v>587</v>
      </c>
    </row>
    <row r="330" spans="1:2" x14ac:dyDescent="0.35">
      <c r="A330">
        <v>314</v>
      </c>
      <c r="B330" t="s">
        <v>588</v>
      </c>
    </row>
    <row r="331" spans="1:2" x14ac:dyDescent="0.35">
      <c r="A331">
        <v>315</v>
      </c>
      <c r="B331" t="s">
        <v>589</v>
      </c>
    </row>
    <row r="332" spans="1:2" x14ac:dyDescent="0.35">
      <c r="A332">
        <v>316</v>
      </c>
      <c r="B332" t="s">
        <v>590</v>
      </c>
    </row>
    <row r="333" spans="1:2" x14ac:dyDescent="0.35">
      <c r="A333">
        <v>317</v>
      </c>
      <c r="B333" t="s">
        <v>591</v>
      </c>
    </row>
    <row r="334" spans="1:2" x14ac:dyDescent="0.35">
      <c r="A334">
        <v>318</v>
      </c>
      <c r="B334" t="s">
        <v>592</v>
      </c>
    </row>
    <row r="335" spans="1:2" x14ac:dyDescent="0.35">
      <c r="A335">
        <v>319</v>
      </c>
      <c r="B335" t="s">
        <v>593</v>
      </c>
    </row>
    <row r="336" spans="1:2" x14ac:dyDescent="0.35">
      <c r="A336">
        <v>320</v>
      </c>
      <c r="B336" t="s">
        <v>594</v>
      </c>
    </row>
    <row r="337" spans="1:2" x14ac:dyDescent="0.35">
      <c r="A337">
        <v>321</v>
      </c>
      <c r="B337" t="s">
        <v>595</v>
      </c>
    </row>
    <row r="338" spans="1:2" x14ac:dyDescent="0.35">
      <c r="A338">
        <v>322</v>
      </c>
      <c r="B338" t="s">
        <v>596</v>
      </c>
    </row>
    <row r="339" spans="1:2" x14ac:dyDescent="0.35">
      <c r="A339">
        <v>323</v>
      </c>
      <c r="B339" t="s">
        <v>597</v>
      </c>
    </row>
    <row r="340" spans="1:2" x14ac:dyDescent="0.35">
      <c r="A340">
        <v>324</v>
      </c>
      <c r="B340" t="s">
        <v>598</v>
      </c>
    </row>
    <row r="341" spans="1:2" x14ac:dyDescent="0.35">
      <c r="A341">
        <v>325</v>
      </c>
      <c r="B341" t="s">
        <v>599</v>
      </c>
    </row>
    <row r="342" spans="1:2" x14ac:dyDescent="0.35">
      <c r="A342">
        <v>326</v>
      </c>
      <c r="B342" t="s">
        <v>600</v>
      </c>
    </row>
    <row r="343" spans="1:2" x14ac:dyDescent="0.35">
      <c r="A343">
        <v>327</v>
      </c>
      <c r="B343" t="s">
        <v>601</v>
      </c>
    </row>
    <row r="344" spans="1:2" x14ac:dyDescent="0.35">
      <c r="A344">
        <v>328</v>
      </c>
      <c r="B344" t="s">
        <v>602</v>
      </c>
    </row>
    <row r="345" spans="1:2" x14ac:dyDescent="0.35">
      <c r="A345">
        <v>329</v>
      </c>
      <c r="B345" t="s">
        <v>603</v>
      </c>
    </row>
    <row r="346" spans="1:2" x14ac:dyDescent="0.35">
      <c r="A346">
        <v>330</v>
      </c>
      <c r="B346" t="s">
        <v>604</v>
      </c>
    </row>
    <row r="347" spans="1:2" x14ac:dyDescent="0.35">
      <c r="A347">
        <v>331</v>
      </c>
      <c r="B347" t="s">
        <v>605</v>
      </c>
    </row>
    <row r="348" spans="1:2" x14ac:dyDescent="0.35">
      <c r="A348">
        <v>332</v>
      </c>
      <c r="B348" t="s">
        <v>606</v>
      </c>
    </row>
    <row r="349" spans="1:2" x14ac:dyDescent="0.35">
      <c r="A349">
        <v>333</v>
      </c>
      <c r="B349" t="s">
        <v>607</v>
      </c>
    </row>
    <row r="350" spans="1:2" x14ac:dyDescent="0.35">
      <c r="A350">
        <v>334</v>
      </c>
      <c r="B350" t="s">
        <v>608</v>
      </c>
    </row>
    <row r="351" spans="1:2" x14ac:dyDescent="0.35">
      <c r="A351">
        <v>335</v>
      </c>
      <c r="B351" t="s">
        <v>609</v>
      </c>
    </row>
    <row r="352" spans="1:2" x14ac:dyDescent="0.35">
      <c r="A352">
        <v>336</v>
      </c>
      <c r="B352" t="s">
        <v>610</v>
      </c>
    </row>
    <row r="353" spans="1:2" x14ac:dyDescent="0.35">
      <c r="A353">
        <v>337</v>
      </c>
      <c r="B353" t="s">
        <v>611</v>
      </c>
    </row>
    <row r="354" spans="1:2" x14ac:dyDescent="0.35">
      <c r="A354">
        <v>338</v>
      </c>
      <c r="B354" t="s">
        <v>612</v>
      </c>
    </row>
    <row r="355" spans="1:2" x14ac:dyDescent="0.35">
      <c r="A355">
        <v>339</v>
      </c>
      <c r="B355" t="s">
        <v>613</v>
      </c>
    </row>
    <row r="356" spans="1:2" x14ac:dyDescent="0.35">
      <c r="A356">
        <v>340</v>
      </c>
      <c r="B356" t="s">
        <v>614</v>
      </c>
    </row>
    <row r="357" spans="1:2" x14ac:dyDescent="0.35">
      <c r="A357">
        <v>341</v>
      </c>
      <c r="B357" t="s">
        <v>615</v>
      </c>
    </row>
    <row r="358" spans="1:2" x14ac:dyDescent="0.35">
      <c r="A358">
        <v>342</v>
      </c>
      <c r="B358" t="s">
        <v>616</v>
      </c>
    </row>
    <row r="359" spans="1:2" x14ac:dyDescent="0.35">
      <c r="A359">
        <v>343</v>
      </c>
      <c r="B359" t="s">
        <v>617</v>
      </c>
    </row>
    <row r="360" spans="1:2" x14ac:dyDescent="0.35">
      <c r="A360">
        <v>344</v>
      </c>
      <c r="B360" t="s">
        <v>618</v>
      </c>
    </row>
    <row r="361" spans="1:2" x14ac:dyDescent="0.35">
      <c r="A361">
        <v>345</v>
      </c>
      <c r="B361" t="s">
        <v>619</v>
      </c>
    </row>
    <row r="362" spans="1:2" x14ac:dyDescent="0.35">
      <c r="A362">
        <v>346</v>
      </c>
      <c r="B362" t="s">
        <v>620</v>
      </c>
    </row>
    <row r="363" spans="1:2" x14ac:dyDescent="0.35">
      <c r="A363">
        <v>347</v>
      </c>
      <c r="B363" t="s">
        <v>621</v>
      </c>
    </row>
    <row r="364" spans="1:2" x14ac:dyDescent="0.35">
      <c r="A364">
        <v>348</v>
      </c>
      <c r="B364" t="s">
        <v>622</v>
      </c>
    </row>
    <row r="365" spans="1:2" x14ac:dyDescent="0.35">
      <c r="A365">
        <v>349</v>
      </c>
      <c r="B365" t="s">
        <v>623</v>
      </c>
    </row>
    <row r="366" spans="1:2" x14ac:dyDescent="0.35">
      <c r="A366">
        <v>350</v>
      </c>
      <c r="B366" t="s">
        <v>624</v>
      </c>
    </row>
    <row r="367" spans="1:2" x14ac:dyDescent="0.35">
      <c r="A367">
        <v>351</v>
      </c>
      <c r="B367" t="s">
        <v>625</v>
      </c>
    </row>
    <row r="368" spans="1:2" x14ac:dyDescent="0.35">
      <c r="A368">
        <v>352</v>
      </c>
      <c r="B368" t="s">
        <v>626</v>
      </c>
    </row>
    <row r="369" spans="1:2" x14ac:dyDescent="0.35">
      <c r="A369">
        <v>353</v>
      </c>
      <c r="B369" t="s">
        <v>627</v>
      </c>
    </row>
    <row r="370" spans="1:2" x14ac:dyDescent="0.35">
      <c r="A370">
        <v>354</v>
      </c>
      <c r="B370" t="s">
        <v>628</v>
      </c>
    </row>
    <row r="371" spans="1:2" x14ac:dyDescent="0.35">
      <c r="A371">
        <v>355</v>
      </c>
      <c r="B371" t="s">
        <v>629</v>
      </c>
    </row>
    <row r="372" spans="1:2" x14ac:dyDescent="0.35">
      <c r="A372">
        <v>356</v>
      </c>
      <c r="B372" t="s">
        <v>630</v>
      </c>
    </row>
    <row r="373" spans="1:2" x14ac:dyDescent="0.35">
      <c r="A373">
        <v>357</v>
      </c>
      <c r="B373" t="s">
        <v>631</v>
      </c>
    </row>
    <row r="374" spans="1:2" x14ac:dyDescent="0.35">
      <c r="A374">
        <v>358</v>
      </c>
      <c r="B374" t="s">
        <v>632</v>
      </c>
    </row>
    <row r="375" spans="1:2" x14ac:dyDescent="0.35">
      <c r="A375">
        <v>359</v>
      </c>
      <c r="B375" t="s">
        <v>633</v>
      </c>
    </row>
    <row r="376" spans="1:2" x14ac:dyDescent="0.35">
      <c r="A376">
        <v>360</v>
      </c>
      <c r="B376" t="s">
        <v>634</v>
      </c>
    </row>
    <row r="377" spans="1:2" x14ac:dyDescent="0.35">
      <c r="A377">
        <v>361</v>
      </c>
      <c r="B377" t="s">
        <v>635</v>
      </c>
    </row>
    <row r="378" spans="1:2" x14ac:dyDescent="0.35">
      <c r="A378">
        <v>362</v>
      </c>
      <c r="B378" t="s">
        <v>636</v>
      </c>
    </row>
    <row r="379" spans="1:2" x14ac:dyDescent="0.35">
      <c r="A379">
        <v>363</v>
      </c>
      <c r="B379" t="s">
        <v>637</v>
      </c>
    </row>
    <row r="380" spans="1:2" x14ac:dyDescent="0.35">
      <c r="A380">
        <v>364</v>
      </c>
      <c r="B380" t="s">
        <v>638</v>
      </c>
    </row>
    <row r="381" spans="1:2" x14ac:dyDescent="0.35">
      <c r="A381">
        <v>365</v>
      </c>
      <c r="B381" t="s">
        <v>639</v>
      </c>
    </row>
    <row r="382" spans="1:2" x14ac:dyDescent="0.35">
      <c r="A382">
        <v>366</v>
      </c>
      <c r="B382" t="s">
        <v>640</v>
      </c>
    </row>
    <row r="383" spans="1:2" x14ac:dyDescent="0.35">
      <c r="A383">
        <v>367</v>
      </c>
      <c r="B383" t="s">
        <v>641</v>
      </c>
    </row>
    <row r="384" spans="1:2" x14ac:dyDescent="0.35">
      <c r="A384">
        <v>368</v>
      </c>
      <c r="B384" t="s">
        <v>642</v>
      </c>
    </row>
    <row r="385" spans="1:2" x14ac:dyDescent="0.35">
      <c r="A385">
        <v>369</v>
      </c>
      <c r="B385" t="s">
        <v>643</v>
      </c>
    </row>
    <row r="386" spans="1:2" x14ac:dyDescent="0.35">
      <c r="A386">
        <v>370</v>
      </c>
      <c r="B386" t="s">
        <v>644</v>
      </c>
    </row>
    <row r="387" spans="1:2" x14ac:dyDescent="0.35">
      <c r="A387">
        <v>371</v>
      </c>
      <c r="B387" t="s">
        <v>645</v>
      </c>
    </row>
    <row r="388" spans="1:2" x14ac:dyDescent="0.35">
      <c r="A388">
        <v>372</v>
      </c>
      <c r="B388" t="s">
        <v>646</v>
      </c>
    </row>
    <row r="389" spans="1:2" x14ac:dyDescent="0.35">
      <c r="A389">
        <v>373</v>
      </c>
      <c r="B389" t="s">
        <v>647</v>
      </c>
    </row>
    <row r="390" spans="1:2" x14ac:dyDescent="0.35">
      <c r="A390">
        <v>374</v>
      </c>
      <c r="B390" t="s">
        <v>648</v>
      </c>
    </row>
    <row r="391" spans="1:2" x14ac:dyDescent="0.35">
      <c r="A391">
        <v>375</v>
      </c>
      <c r="B391" t="s">
        <v>649</v>
      </c>
    </row>
    <row r="392" spans="1:2" x14ac:dyDescent="0.35">
      <c r="A392">
        <v>376</v>
      </c>
      <c r="B392" t="s">
        <v>650</v>
      </c>
    </row>
    <row r="393" spans="1:2" x14ac:dyDescent="0.35">
      <c r="A393">
        <v>377</v>
      </c>
      <c r="B393" t="s">
        <v>651</v>
      </c>
    </row>
    <row r="394" spans="1:2" x14ac:dyDescent="0.35">
      <c r="A394">
        <v>378</v>
      </c>
      <c r="B394" t="s">
        <v>652</v>
      </c>
    </row>
    <row r="395" spans="1:2" x14ac:dyDescent="0.35">
      <c r="A395">
        <v>379</v>
      </c>
      <c r="B395" t="s">
        <v>653</v>
      </c>
    </row>
    <row r="396" spans="1:2" x14ac:dyDescent="0.35">
      <c r="A396">
        <v>380</v>
      </c>
      <c r="B396" t="s">
        <v>654</v>
      </c>
    </row>
    <row r="397" spans="1:2" x14ac:dyDescent="0.35">
      <c r="A397">
        <v>381</v>
      </c>
      <c r="B397" t="s">
        <v>655</v>
      </c>
    </row>
    <row r="398" spans="1:2" x14ac:dyDescent="0.35">
      <c r="A398">
        <v>382</v>
      </c>
      <c r="B398" t="s">
        <v>656</v>
      </c>
    </row>
    <row r="399" spans="1:2" x14ac:dyDescent="0.35">
      <c r="A399">
        <v>383</v>
      </c>
      <c r="B399" t="s">
        <v>657</v>
      </c>
    </row>
    <row r="400" spans="1:2" x14ac:dyDescent="0.35">
      <c r="A400">
        <v>384</v>
      </c>
      <c r="B400" t="s">
        <v>658</v>
      </c>
    </row>
    <row r="401" spans="1:2" x14ac:dyDescent="0.35">
      <c r="A401">
        <v>385</v>
      </c>
      <c r="B401" t="s">
        <v>659</v>
      </c>
    </row>
    <row r="402" spans="1:2" x14ac:dyDescent="0.35">
      <c r="A402">
        <v>386</v>
      </c>
      <c r="B402" t="s">
        <v>660</v>
      </c>
    </row>
    <row r="403" spans="1:2" x14ac:dyDescent="0.35">
      <c r="A403">
        <v>387</v>
      </c>
      <c r="B403" t="s">
        <v>661</v>
      </c>
    </row>
    <row r="404" spans="1:2" x14ac:dyDescent="0.35">
      <c r="A404">
        <v>388</v>
      </c>
      <c r="B404" t="s">
        <v>662</v>
      </c>
    </row>
    <row r="405" spans="1:2" x14ac:dyDescent="0.35">
      <c r="A405">
        <v>389</v>
      </c>
      <c r="B405" t="s">
        <v>663</v>
      </c>
    </row>
    <row r="406" spans="1:2" x14ac:dyDescent="0.35">
      <c r="A406">
        <v>390</v>
      </c>
      <c r="B406" t="s">
        <v>664</v>
      </c>
    </row>
    <row r="407" spans="1:2" x14ac:dyDescent="0.35">
      <c r="A407">
        <v>391</v>
      </c>
      <c r="B407" t="s">
        <v>665</v>
      </c>
    </row>
    <row r="408" spans="1:2" x14ac:dyDescent="0.35">
      <c r="A408">
        <v>392</v>
      </c>
      <c r="B408" t="s">
        <v>666</v>
      </c>
    </row>
    <row r="409" spans="1:2" x14ac:dyDescent="0.35">
      <c r="A409">
        <v>393</v>
      </c>
      <c r="B409" t="s">
        <v>667</v>
      </c>
    </row>
    <row r="410" spans="1:2" x14ac:dyDescent="0.35">
      <c r="A410">
        <v>394</v>
      </c>
      <c r="B410" t="s">
        <v>668</v>
      </c>
    </row>
    <row r="411" spans="1:2" x14ac:dyDescent="0.35">
      <c r="A411">
        <v>395</v>
      </c>
      <c r="B411" t="s">
        <v>669</v>
      </c>
    </row>
    <row r="412" spans="1:2" x14ac:dyDescent="0.35">
      <c r="A412">
        <v>396</v>
      </c>
      <c r="B412" t="s">
        <v>670</v>
      </c>
    </row>
    <row r="413" spans="1:2" x14ac:dyDescent="0.35">
      <c r="A413">
        <v>397</v>
      </c>
      <c r="B413" t="s">
        <v>671</v>
      </c>
    </row>
    <row r="414" spans="1:2" x14ac:dyDescent="0.35">
      <c r="A414">
        <v>398</v>
      </c>
      <c r="B414" t="s">
        <v>672</v>
      </c>
    </row>
    <row r="415" spans="1:2" x14ac:dyDescent="0.35">
      <c r="A415">
        <v>399</v>
      </c>
      <c r="B415" t="s">
        <v>673</v>
      </c>
    </row>
    <row r="416" spans="1:2" x14ac:dyDescent="0.35">
      <c r="A416">
        <v>400</v>
      </c>
      <c r="B416" t="s">
        <v>674</v>
      </c>
    </row>
    <row r="417" spans="1:2" x14ac:dyDescent="0.35">
      <c r="A417">
        <v>401</v>
      </c>
      <c r="B417" t="s">
        <v>675</v>
      </c>
    </row>
    <row r="418" spans="1:2" x14ac:dyDescent="0.35">
      <c r="A418">
        <v>402</v>
      </c>
      <c r="B418" t="s">
        <v>676</v>
      </c>
    </row>
    <row r="419" spans="1:2" x14ac:dyDescent="0.35">
      <c r="A419">
        <v>403</v>
      </c>
      <c r="B419" t="s">
        <v>677</v>
      </c>
    </row>
    <row r="420" spans="1:2" x14ac:dyDescent="0.35">
      <c r="A420">
        <v>404</v>
      </c>
      <c r="B420" t="s">
        <v>678</v>
      </c>
    </row>
    <row r="421" spans="1:2" x14ac:dyDescent="0.35">
      <c r="A421">
        <v>405</v>
      </c>
      <c r="B421" t="s">
        <v>679</v>
      </c>
    </row>
    <row r="422" spans="1:2" x14ac:dyDescent="0.35">
      <c r="A422">
        <v>406</v>
      </c>
      <c r="B422" t="s">
        <v>680</v>
      </c>
    </row>
    <row r="423" spans="1:2" x14ac:dyDescent="0.35">
      <c r="A423">
        <v>407</v>
      </c>
      <c r="B423" t="s">
        <v>681</v>
      </c>
    </row>
    <row r="424" spans="1:2" x14ac:dyDescent="0.35">
      <c r="A424">
        <v>408</v>
      </c>
      <c r="B424" t="s">
        <v>682</v>
      </c>
    </row>
    <row r="425" spans="1:2" x14ac:dyDescent="0.35">
      <c r="A425">
        <v>409</v>
      </c>
      <c r="B425" t="s">
        <v>683</v>
      </c>
    </row>
    <row r="426" spans="1:2" x14ac:dyDescent="0.35">
      <c r="A426">
        <v>410</v>
      </c>
      <c r="B426" t="s">
        <v>684</v>
      </c>
    </row>
    <row r="427" spans="1:2" x14ac:dyDescent="0.35">
      <c r="A427">
        <v>411</v>
      </c>
      <c r="B427" t="s">
        <v>685</v>
      </c>
    </row>
    <row r="428" spans="1:2" x14ac:dyDescent="0.35">
      <c r="A428">
        <v>412</v>
      </c>
      <c r="B428" t="s">
        <v>686</v>
      </c>
    </row>
    <row r="429" spans="1:2" x14ac:dyDescent="0.35">
      <c r="A429">
        <v>413</v>
      </c>
      <c r="B429" t="s">
        <v>687</v>
      </c>
    </row>
    <row r="430" spans="1:2" x14ac:dyDescent="0.35">
      <c r="A430">
        <v>414</v>
      </c>
      <c r="B430" t="s">
        <v>688</v>
      </c>
    </row>
    <row r="431" spans="1:2" x14ac:dyDescent="0.35">
      <c r="A431">
        <v>415</v>
      </c>
      <c r="B431" t="s">
        <v>689</v>
      </c>
    </row>
    <row r="432" spans="1:2" x14ac:dyDescent="0.35">
      <c r="A432">
        <v>416</v>
      </c>
      <c r="B432" t="s">
        <v>690</v>
      </c>
    </row>
    <row r="433" spans="1:2" x14ac:dyDescent="0.35">
      <c r="A433">
        <v>417</v>
      </c>
      <c r="B433" t="s">
        <v>691</v>
      </c>
    </row>
    <row r="434" spans="1:2" x14ac:dyDescent="0.35">
      <c r="A434">
        <v>418</v>
      </c>
      <c r="B434" t="s">
        <v>692</v>
      </c>
    </row>
    <row r="435" spans="1:2" x14ac:dyDescent="0.35">
      <c r="A435">
        <v>419</v>
      </c>
      <c r="B435" t="s">
        <v>693</v>
      </c>
    </row>
    <row r="436" spans="1:2" x14ac:dyDescent="0.35">
      <c r="A436">
        <v>420</v>
      </c>
      <c r="B436" t="s">
        <v>694</v>
      </c>
    </row>
    <row r="437" spans="1:2" x14ac:dyDescent="0.35">
      <c r="A437">
        <v>421</v>
      </c>
      <c r="B437" t="s">
        <v>695</v>
      </c>
    </row>
    <row r="438" spans="1:2" x14ac:dyDescent="0.35">
      <c r="A438">
        <v>422</v>
      </c>
      <c r="B438" t="s">
        <v>696</v>
      </c>
    </row>
    <row r="439" spans="1:2" x14ac:dyDescent="0.35">
      <c r="A439">
        <v>423</v>
      </c>
      <c r="B439" t="s">
        <v>697</v>
      </c>
    </row>
    <row r="440" spans="1:2" x14ac:dyDescent="0.35">
      <c r="A440">
        <v>424</v>
      </c>
      <c r="B440" t="s">
        <v>698</v>
      </c>
    </row>
    <row r="441" spans="1:2" x14ac:dyDescent="0.35">
      <c r="A441">
        <v>425</v>
      </c>
      <c r="B441" t="s">
        <v>699</v>
      </c>
    </row>
    <row r="442" spans="1:2" x14ac:dyDescent="0.35">
      <c r="A442">
        <v>426</v>
      </c>
      <c r="B442" t="s">
        <v>700</v>
      </c>
    </row>
    <row r="443" spans="1:2" x14ac:dyDescent="0.35">
      <c r="A443">
        <v>427</v>
      </c>
      <c r="B443" t="s">
        <v>701</v>
      </c>
    </row>
    <row r="444" spans="1:2" x14ac:dyDescent="0.35">
      <c r="A444">
        <v>428</v>
      </c>
      <c r="B444" t="s">
        <v>702</v>
      </c>
    </row>
    <row r="445" spans="1:2" x14ac:dyDescent="0.35">
      <c r="A445">
        <v>429</v>
      </c>
      <c r="B445" t="s">
        <v>703</v>
      </c>
    </row>
    <row r="446" spans="1:2" x14ac:dyDescent="0.35">
      <c r="A446">
        <v>430</v>
      </c>
      <c r="B446" t="s">
        <v>704</v>
      </c>
    </row>
    <row r="447" spans="1:2" x14ac:dyDescent="0.35">
      <c r="A447">
        <v>431</v>
      </c>
      <c r="B447" t="s">
        <v>705</v>
      </c>
    </row>
    <row r="448" spans="1:2" x14ac:dyDescent="0.35">
      <c r="A448">
        <v>432</v>
      </c>
      <c r="B448" t="s">
        <v>706</v>
      </c>
    </row>
    <row r="449" spans="1:2" x14ac:dyDescent="0.35">
      <c r="A449">
        <v>433</v>
      </c>
      <c r="B449" t="s">
        <v>707</v>
      </c>
    </row>
    <row r="450" spans="1:2" x14ac:dyDescent="0.35">
      <c r="A450">
        <v>434</v>
      </c>
      <c r="B450" t="s">
        <v>708</v>
      </c>
    </row>
    <row r="451" spans="1:2" x14ac:dyDescent="0.35">
      <c r="A451">
        <v>435</v>
      </c>
      <c r="B451" t="s">
        <v>709</v>
      </c>
    </row>
    <row r="452" spans="1:2" x14ac:dyDescent="0.35">
      <c r="A452">
        <v>436</v>
      </c>
      <c r="B452" t="s">
        <v>710</v>
      </c>
    </row>
    <row r="453" spans="1:2" x14ac:dyDescent="0.35">
      <c r="A453">
        <v>437</v>
      </c>
      <c r="B453" t="s">
        <v>711</v>
      </c>
    </row>
    <row r="454" spans="1:2" x14ac:dyDescent="0.35">
      <c r="A454">
        <v>438</v>
      </c>
      <c r="B454" t="s">
        <v>712</v>
      </c>
    </row>
    <row r="455" spans="1:2" x14ac:dyDescent="0.35">
      <c r="A455">
        <v>439</v>
      </c>
      <c r="B455" t="s">
        <v>713</v>
      </c>
    </row>
    <row r="456" spans="1:2" x14ac:dyDescent="0.35">
      <c r="A456">
        <v>440</v>
      </c>
      <c r="B456" t="s">
        <v>714</v>
      </c>
    </row>
    <row r="457" spans="1:2" x14ac:dyDescent="0.35">
      <c r="A457">
        <v>441</v>
      </c>
      <c r="B457" t="s">
        <v>715</v>
      </c>
    </row>
    <row r="458" spans="1:2" x14ac:dyDescent="0.35">
      <c r="A458">
        <v>442</v>
      </c>
      <c r="B458" t="s">
        <v>716</v>
      </c>
    </row>
    <row r="459" spans="1:2" x14ac:dyDescent="0.35">
      <c r="A459">
        <v>443</v>
      </c>
      <c r="B459" t="s">
        <v>717</v>
      </c>
    </row>
    <row r="460" spans="1:2" x14ac:dyDescent="0.35">
      <c r="A460">
        <v>444</v>
      </c>
      <c r="B460" t="s">
        <v>718</v>
      </c>
    </row>
    <row r="461" spans="1:2" x14ac:dyDescent="0.35">
      <c r="A461">
        <v>445</v>
      </c>
      <c r="B461" t="s">
        <v>719</v>
      </c>
    </row>
    <row r="462" spans="1:2" x14ac:dyDescent="0.35">
      <c r="A462">
        <v>446</v>
      </c>
      <c r="B462" t="s">
        <v>720</v>
      </c>
    </row>
    <row r="463" spans="1:2" x14ac:dyDescent="0.35">
      <c r="A463">
        <v>447</v>
      </c>
      <c r="B463" t="s">
        <v>721</v>
      </c>
    </row>
    <row r="464" spans="1:2" x14ac:dyDescent="0.35">
      <c r="A464">
        <v>448</v>
      </c>
      <c r="B464" t="s">
        <v>722</v>
      </c>
    </row>
    <row r="465" spans="1:2" x14ac:dyDescent="0.35">
      <c r="A465">
        <v>449</v>
      </c>
      <c r="B465" t="s">
        <v>723</v>
      </c>
    </row>
    <row r="466" spans="1:2" x14ac:dyDescent="0.35">
      <c r="A466">
        <v>450</v>
      </c>
      <c r="B466" t="s">
        <v>724</v>
      </c>
    </row>
    <row r="467" spans="1:2" x14ac:dyDescent="0.35">
      <c r="A467">
        <v>451</v>
      </c>
      <c r="B467" t="s">
        <v>725</v>
      </c>
    </row>
    <row r="468" spans="1:2" x14ac:dyDescent="0.35">
      <c r="A468">
        <v>452</v>
      </c>
      <c r="B468" t="s">
        <v>726</v>
      </c>
    </row>
    <row r="469" spans="1:2" x14ac:dyDescent="0.35">
      <c r="A469">
        <v>453</v>
      </c>
      <c r="B469" t="s">
        <v>727</v>
      </c>
    </row>
    <row r="470" spans="1:2" x14ac:dyDescent="0.35">
      <c r="A470">
        <v>454</v>
      </c>
      <c r="B470" t="s">
        <v>728</v>
      </c>
    </row>
    <row r="471" spans="1:2" x14ac:dyDescent="0.35">
      <c r="A471">
        <v>455</v>
      </c>
      <c r="B471" t="s">
        <v>729</v>
      </c>
    </row>
    <row r="472" spans="1:2" x14ac:dyDescent="0.35">
      <c r="A472">
        <v>456</v>
      </c>
      <c r="B472" t="s">
        <v>730</v>
      </c>
    </row>
    <row r="473" spans="1:2" x14ac:dyDescent="0.35">
      <c r="A473">
        <v>457</v>
      </c>
      <c r="B473" t="s">
        <v>731</v>
      </c>
    </row>
    <row r="474" spans="1:2" x14ac:dyDescent="0.35">
      <c r="A474">
        <v>458</v>
      </c>
      <c r="B474" t="s">
        <v>732</v>
      </c>
    </row>
    <row r="475" spans="1:2" x14ac:dyDescent="0.35">
      <c r="A475">
        <v>459</v>
      </c>
      <c r="B475" t="s">
        <v>733</v>
      </c>
    </row>
    <row r="476" spans="1:2" x14ac:dyDescent="0.35">
      <c r="A476">
        <v>460</v>
      </c>
      <c r="B476" t="s">
        <v>734</v>
      </c>
    </row>
    <row r="477" spans="1:2" x14ac:dyDescent="0.35">
      <c r="A477">
        <v>461</v>
      </c>
      <c r="B477" t="s">
        <v>735</v>
      </c>
    </row>
    <row r="478" spans="1:2" x14ac:dyDescent="0.35">
      <c r="A478">
        <v>462</v>
      </c>
      <c r="B478" t="s">
        <v>736</v>
      </c>
    </row>
    <row r="479" spans="1:2" x14ac:dyDescent="0.35">
      <c r="A479">
        <v>463</v>
      </c>
      <c r="B479" t="s">
        <v>737</v>
      </c>
    </row>
    <row r="480" spans="1:2" x14ac:dyDescent="0.35">
      <c r="A480">
        <v>464</v>
      </c>
      <c r="B480" t="s">
        <v>738</v>
      </c>
    </row>
    <row r="481" spans="1:2" x14ac:dyDescent="0.35">
      <c r="A481">
        <v>465</v>
      </c>
      <c r="B481" t="s">
        <v>739</v>
      </c>
    </row>
    <row r="482" spans="1:2" x14ac:dyDescent="0.35">
      <c r="A482">
        <v>466</v>
      </c>
      <c r="B482" t="s">
        <v>740</v>
      </c>
    </row>
    <row r="483" spans="1:2" x14ac:dyDescent="0.35">
      <c r="A483">
        <v>467</v>
      </c>
      <c r="B483" t="s">
        <v>741</v>
      </c>
    </row>
    <row r="484" spans="1:2" x14ac:dyDescent="0.35">
      <c r="A484">
        <v>468</v>
      </c>
      <c r="B484" t="s">
        <v>742</v>
      </c>
    </row>
    <row r="485" spans="1:2" x14ac:dyDescent="0.35">
      <c r="A485">
        <v>469</v>
      </c>
      <c r="B485" t="s">
        <v>743</v>
      </c>
    </row>
    <row r="486" spans="1:2" x14ac:dyDescent="0.35">
      <c r="A486">
        <v>470</v>
      </c>
      <c r="B486" t="s">
        <v>744</v>
      </c>
    </row>
    <row r="487" spans="1:2" x14ac:dyDescent="0.35">
      <c r="A487">
        <v>471</v>
      </c>
      <c r="B487" t="s">
        <v>745</v>
      </c>
    </row>
    <row r="488" spans="1:2" x14ac:dyDescent="0.35">
      <c r="A488">
        <v>472</v>
      </c>
      <c r="B488" t="s">
        <v>746</v>
      </c>
    </row>
    <row r="489" spans="1:2" x14ac:dyDescent="0.35">
      <c r="A489">
        <v>473</v>
      </c>
      <c r="B489" t="s">
        <v>747</v>
      </c>
    </row>
    <row r="490" spans="1:2" x14ac:dyDescent="0.35">
      <c r="A490">
        <v>474</v>
      </c>
      <c r="B490" t="s">
        <v>748</v>
      </c>
    </row>
    <row r="491" spans="1:2" x14ac:dyDescent="0.35">
      <c r="A491">
        <v>475</v>
      </c>
      <c r="B491" t="s">
        <v>749</v>
      </c>
    </row>
    <row r="492" spans="1:2" x14ac:dyDescent="0.35">
      <c r="A492">
        <v>476</v>
      </c>
      <c r="B492" t="s">
        <v>750</v>
      </c>
    </row>
    <row r="493" spans="1:2" x14ac:dyDescent="0.35">
      <c r="A493">
        <v>477</v>
      </c>
      <c r="B493" t="s">
        <v>751</v>
      </c>
    </row>
    <row r="494" spans="1:2" x14ac:dyDescent="0.35">
      <c r="A494">
        <v>478</v>
      </c>
      <c r="B494" t="s">
        <v>752</v>
      </c>
    </row>
    <row r="495" spans="1:2" x14ac:dyDescent="0.35">
      <c r="A495">
        <v>479</v>
      </c>
      <c r="B495" t="s">
        <v>753</v>
      </c>
    </row>
    <row r="496" spans="1:2" x14ac:dyDescent="0.35">
      <c r="A496">
        <v>480</v>
      </c>
      <c r="B496" t="s">
        <v>754</v>
      </c>
    </row>
    <row r="497" spans="1:2" x14ac:dyDescent="0.35">
      <c r="A497">
        <v>481</v>
      </c>
      <c r="B497" t="s">
        <v>755</v>
      </c>
    </row>
    <row r="498" spans="1:2" x14ac:dyDescent="0.35">
      <c r="A498">
        <v>482</v>
      </c>
      <c r="B498" t="s">
        <v>756</v>
      </c>
    </row>
    <row r="499" spans="1:2" x14ac:dyDescent="0.35">
      <c r="A499">
        <v>483</v>
      </c>
      <c r="B499" t="s">
        <v>757</v>
      </c>
    </row>
    <row r="500" spans="1:2" x14ac:dyDescent="0.35">
      <c r="A500">
        <v>484</v>
      </c>
      <c r="B500" t="s">
        <v>758</v>
      </c>
    </row>
    <row r="501" spans="1:2" x14ac:dyDescent="0.35">
      <c r="A501">
        <v>485</v>
      </c>
      <c r="B501" t="s">
        <v>759</v>
      </c>
    </row>
    <row r="502" spans="1:2" x14ac:dyDescent="0.35">
      <c r="A502">
        <v>486</v>
      </c>
      <c r="B502" t="s">
        <v>760</v>
      </c>
    </row>
    <row r="503" spans="1:2" x14ac:dyDescent="0.35">
      <c r="A503">
        <v>487</v>
      </c>
      <c r="B503" t="s">
        <v>761</v>
      </c>
    </row>
    <row r="504" spans="1:2" x14ac:dyDescent="0.35">
      <c r="A504">
        <v>488</v>
      </c>
      <c r="B504" t="s">
        <v>762</v>
      </c>
    </row>
    <row r="505" spans="1:2" x14ac:dyDescent="0.35">
      <c r="A505">
        <v>489</v>
      </c>
      <c r="B505" t="s">
        <v>763</v>
      </c>
    </row>
    <row r="506" spans="1:2" x14ac:dyDescent="0.35">
      <c r="A506">
        <v>490</v>
      </c>
      <c r="B506" t="s">
        <v>764</v>
      </c>
    </row>
    <row r="507" spans="1:2" x14ac:dyDescent="0.35">
      <c r="A507">
        <v>491</v>
      </c>
      <c r="B507" t="s">
        <v>765</v>
      </c>
    </row>
    <row r="508" spans="1:2" x14ac:dyDescent="0.35">
      <c r="A508">
        <v>492</v>
      </c>
      <c r="B508" t="s">
        <v>766</v>
      </c>
    </row>
    <row r="509" spans="1:2" x14ac:dyDescent="0.35">
      <c r="A509">
        <v>493</v>
      </c>
      <c r="B509" t="s">
        <v>767</v>
      </c>
    </row>
    <row r="510" spans="1:2" x14ac:dyDescent="0.35">
      <c r="A510">
        <v>494</v>
      </c>
      <c r="B510" t="s">
        <v>768</v>
      </c>
    </row>
    <row r="511" spans="1:2" x14ac:dyDescent="0.35">
      <c r="A511">
        <v>495</v>
      </c>
      <c r="B511" t="s">
        <v>769</v>
      </c>
    </row>
    <row r="512" spans="1:2" x14ac:dyDescent="0.35">
      <c r="A512">
        <v>496</v>
      </c>
      <c r="B512" t="s">
        <v>770</v>
      </c>
    </row>
    <row r="513" spans="1:2" x14ac:dyDescent="0.35">
      <c r="A513">
        <v>497</v>
      </c>
      <c r="B513" t="s">
        <v>771</v>
      </c>
    </row>
    <row r="514" spans="1:2" x14ac:dyDescent="0.35">
      <c r="A514">
        <v>498</v>
      </c>
      <c r="B514" t="s">
        <v>772</v>
      </c>
    </row>
    <row r="515" spans="1:2" x14ac:dyDescent="0.35">
      <c r="A515">
        <v>499</v>
      </c>
      <c r="B515" t="s">
        <v>773</v>
      </c>
    </row>
    <row r="516" spans="1:2" x14ac:dyDescent="0.35">
      <c r="A516">
        <v>500</v>
      </c>
      <c r="B516" t="s">
        <v>774</v>
      </c>
    </row>
    <row r="517" spans="1:2" x14ac:dyDescent="0.35">
      <c r="A517">
        <v>501</v>
      </c>
      <c r="B517" t="s">
        <v>775</v>
      </c>
    </row>
    <row r="518" spans="1:2" x14ac:dyDescent="0.35">
      <c r="A518">
        <v>502</v>
      </c>
      <c r="B518" t="s">
        <v>776</v>
      </c>
    </row>
    <row r="519" spans="1:2" x14ac:dyDescent="0.35">
      <c r="A519">
        <v>503</v>
      </c>
      <c r="B519" t="s">
        <v>777</v>
      </c>
    </row>
    <row r="520" spans="1:2" x14ac:dyDescent="0.35">
      <c r="A520">
        <v>504</v>
      </c>
      <c r="B520" t="s">
        <v>778</v>
      </c>
    </row>
    <row r="521" spans="1:2" x14ac:dyDescent="0.35">
      <c r="A521">
        <v>505</v>
      </c>
      <c r="B521" t="s">
        <v>779</v>
      </c>
    </row>
    <row r="522" spans="1:2" x14ac:dyDescent="0.35">
      <c r="A522">
        <v>506</v>
      </c>
      <c r="B522" t="s">
        <v>780</v>
      </c>
    </row>
    <row r="523" spans="1:2" x14ac:dyDescent="0.35">
      <c r="A523">
        <v>507</v>
      </c>
      <c r="B523" t="s">
        <v>781</v>
      </c>
    </row>
    <row r="524" spans="1:2" x14ac:dyDescent="0.35">
      <c r="A524">
        <v>508</v>
      </c>
      <c r="B524" t="s">
        <v>782</v>
      </c>
    </row>
    <row r="525" spans="1:2" x14ac:dyDescent="0.35">
      <c r="A525">
        <v>509</v>
      </c>
      <c r="B525" t="s">
        <v>783</v>
      </c>
    </row>
    <row r="526" spans="1:2" x14ac:dyDescent="0.35">
      <c r="A526">
        <v>510</v>
      </c>
      <c r="B526" t="s">
        <v>784</v>
      </c>
    </row>
    <row r="527" spans="1:2" x14ac:dyDescent="0.35">
      <c r="A527">
        <v>511</v>
      </c>
      <c r="B527" t="s">
        <v>785</v>
      </c>
    </row>
    <row r="528" spans="1:2" x14ac:dyDescent="0.35">
      <c r="A528">
        <v>512</v>
      </c>
      <c r="B528" t="s">
        <v>786</v>
      </c>
    </row>
    <row r="529" spans="1:2" x14ac:dyDescent="0.35">
      <c r="A529">
        <v>513</v>
      </c>
      <c r="B529" t="s">
        <v>787</v>
      </c>
    </row>
    <row r="530" spans="1:2" x14ac:dyDescent="0.35">
      <c r="A530">
        <v>514</v>
      </c>
      <c r="B530" t="s">
        <v>788</v>
      </c>
    </row>
    <row r="531" spans="1:2" x14ac:dyDescent="0.35">
      <c r="A531">
        <v>515</v>
      </c>
      <c r="B531" t="s">
        <v>789</v>
      </c>
    </row>
    <row r="532" spans="1:2" x14ac:dyDescent="0.35">
      <c r="A532">
        <v>516</v>
      </c>
      <c r="B532" t="s">
        <v>790</v>
      </c>
    </row>
    <row r="533" spans="1:2" x14ac:dyDescent="0.35">
      <c r="A533">
        <v>517</v>
      </c>
      <c r="B533" t="s">
        <v>791</v>
      </c>
    </row>
    <row r="534" spans="1:2" x14ac:dyDescent="0.35">
      <c r="A534">
        <v>518</v>
      </c>
      <c r="B534" t="s">
        <v>792</v>
      </c>
    </row>
    <row r="535" spans="1:2" x14ac:dyDescent="0.35">
      <c r="A535">
        <v>519</v>
      </c>
      <c r="B535" t="s">
        <v>793</v>
      </c>
    </row>
    <row r="536" spans="1:2" x14ac:dyDescent="0.35">
      <c r="A536">
        <v>520</v>
      </c>
      <c r="B536" t="s">
        <v>794</v>
      </c>
    </row>
    <row r="537" spans="1:2" x14ac:dyDescent="0.35">
      <c r="A537">
        <v>521</v>
      </c>
      <c r="B537" t="s">
        <v>795</v>
      </c>
    </row>
    <row r="538" spans="1:2" x14ac:dyDescent="0.35">
      <c r="A538">
        <v>522</v>
      </c>
      <c r="B538" t="s">
        <v>796</v>
      </c>
    </row>
    <row r="539" spans="1:2" x14ac:dyDescent="0.35">
      <c r="A539">
        <v>523</v>
      </c>
      <c r="B539" t="s">
        <v>797</v>
      </c>
    </row>
    <row r="540" spans="1:2" x14ac:dyDescent="0.35">
      <c r="A540">
        <v>524</v>
      </c>
      <c r="B540" t="s">
        <v>798</v>
      </c>
    </row>
    <row r="541" spans="1:2" x14ac:dyDescent="0.35">
      <c r="A541">
        <v>525</v>
      </c>
      <c r="B541" t="s">
        <v>799</v>
      </c>
    </row>
    <row r="542" spans="1:2" x14ac:dyDescent="0.35">
      <c r="A542">
        <v>526</v>
      </c>
      <c r="B542" t="s">
        <v>800</v>
      </c>
    </row>
    <row r="543" spans="1:2" x14ac:dyDescent="0.35">
      <c r="A543">
        <v>527</v>
      </c>
      <c r="B543" t="s">
        <v>801</v>
      </c>
    </row>
    <row r="544" spans="1:2" x14ac:dyDescent="0.35">
      <c r="A544">
        <v>528</v>
      </c>
      <c r="B544" t="s">
        <v>802</v>
      </c>
    </row>
    <row r="545" spans="1:2" x14ac:dyDescent="0.35">
      <c r="A545">
        <v>529</v>
      </c>
      <c r="B545" t="s">
        <v>803</v>
      </c>
    </row>
    <row r="546" spans="1:2" x14ac:dyDescent="0.35">
      <c r="A546">
        <v>530</v>
      </c>
      <c r="B546" t="s">
        <v>804</v>
      </c>
    </row>
    <row r="547" spans="1:2" x14ac:dyDescent="0.35">
      <c r="A547">
        <v>531</v>
      </c>
      <c r="B547" t="s">
        <v>805</v>
      </c>
    </row>
    <row r="548" spans="1:2" x14ac:dyDescent="0.35">
      <c r="A548">
        <v>532</v>
      </c>
      <c r="B548" t="s">
        <v>806</v>
      </c>
    </row>
    <row r="549" spans="1:2" x14ac:dyDescent="0.35">
      <c r="A549">
        <v>533</v>
      </c>
      <c r="B549" t="s">
        <v>807</v>
      </c>
    </row>
    <row r="550" spans="1:2" x14ac:dyDescent="0.35">
      <c r="A550">
        <v>534</v>
      </c>
      <c r="B550" t="s">
        <v>808</v>
      </c>
    </row>
    <row r="551" spans="1:2" x14ac:dyDescent="0.35">
      <c r="A551">
        <v>535</v>
      </c>
      <c r="B551" t="s">
        <v>809</v>
      </c>
    </row>
    <row r="552" spans="1:2" x14ac:dyDescent="0.35">
      <c r="A552">
        <v>536</v>
      </c>
      <c r="B552" t="s">
        <v>810</v>
      </c>
    </row>
    <row r="553" spans="1:2" x14ac:dyDescent="0.35">
      <c r="A553">
        <v>537</v>
      </c>
      <c r="B553" t="s">
        <v>811</v>
      </c>
    </row>
    <row r="554" spans="1:2" x14ac:dyDescent="0.35">
      <c r="A554">
        <v>538</v>
      </c>
      <c r="B554" t="s">
        <v>812</v>
      </c>
    </row>
    <row r="555" spans="1:2" x14ac:dyDescent="0.35">
      <c r="A555">
        <v>539</v>
      </c>
      <c r="B555" t="s">
        <v>813</v>
      </c>
    </row>
    <row r="556" spans="1:2" x14ac:dyDescent="0.35">
      <c r="A556">
        <v>540</v>
      </c>
      <c r="B556" t="s">
        <v>814</v>
      </c>
    </row>
    <row r="557" spans="1:2" x14ac:dyDescent="0.35">
      <c r="A557">
        <v>541</v>
      </c>
      <c r="B557" t="s">
        <v>815</v>
      </c>
    </row>
    <row r="558" spans="1:2" x14ac:dyDescent="0.35">
      <c r="A558">
        <v>542</v>
      </c>
      <c r="B558" t="s">
        <v>816</v>
      </c>
    </row>
    <row r="559" spans="1:2" x14ac:dyDescent="0.35">
      <c r="A559">
        <v>543</v>
      </c>
      <c r="B559" t="s">
        <v>817</v>
      </c>
    </row>
    <row r="560" spans="1:2" x14ac:dyDescent="0.35">
      <c r="A560">
        <v>544</v>
      </c>
      <c r="B560" t="s">
        <v>818</v>
      </c>
    </row>
    <row r="561" spans="1:2" x14ac:dyDescent="0.35">
      <c r="A561">
        <v>545</v>
      </c>
      <c r="B561" t="s">
        <v>819</v>
      </c>
    </row>
    <row r="562" spans="1:2" x14ac:dyDescent="0.35">
      <c r="A562">
        <v>546</v>
      </c>
      <c r="B562" t="s">
        <v>820</v>
      </c>
    </row>
    <row r="563" spans="1:2" x14ac:dyDescent="0.35">
      <c r="A563">
        <v>547</v>
      </c>
      <c r="B563" t="s">
        <v>821</v>
      </c>
    </row>
    <row r="564" spans="1:2" x14ac:dyDescent="0.35">
      <c r="A564">
        <v>548</v>
      </c>
      <c r="B564" t="s">
        <v>822</v>
      </c>
    </row>
    <row r="565" spans="1:2" x14ac:dyDescent="0.35">
      <c r="A565">
        <v>549</v>
      </c>
      <c r="B565" t="s">
        <v>823</v>
      </c>
    </row>
    <row r="566" spans="1:2" x14ac:dyDescent="0.35">
      <c r="A566">
        <v>550</v>
      </c>
      <c r="B566" t="s">
        <v>824</v>
      </c>
    </row>
    <row r="567" spans="1:2" x14ac:dyDescent="0.35">
      <c r="A567">
        <v>551</v>
      </c>
      <c r="B567" t="s">
        <v>825</v>
      </c>
    </row>
    <row r="568" spans="1:2" x14ac:dyDescent="0.35">
      <c r="A568">
        <v>552</v>
      </c>
      <c r="B568" t="s">
        <v>826</v>
      </c>
    </row>
    <row r="569" spans="1:2" x14ac:dyDescent="0.35">
      <c r="A569">
        <v>553</v>
      </c>
      <c r="B569" t="s">
        <v>827</v>
      </c>
    </row>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
  <sheetViews>
    <sheetView workbookViewId="0">
      <selection activeCell="B159" sqref="B159"/>
    </sheetView>
  </sheetViews>
  <sheetFormatPr defaultRowHeight="14.5" x14ac:dyDescent="0.35"/>
  <sheetData/>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5" tint="0.39997558519241921"/>
  </sheetPr>
  <dimension ref="A1:U108"/>
  <sheetViews>
    <sheetView workbookViewId="0">
      <pane xSplit="3" ySplit="3" topLeftCell="D47" activePane="bottomRight" state="frozen"/>
      <selection activeCell="B159" sqref="B159"/>
      <selection pane="topRight" activeCell="B159" sqref="B159"/>
      <selection pane="bottomLeft" activeCell="B159" sqref="B159"/>
      <selection pane="bottomRight" activeCell="D72" sqref="D72"/>
    </sheetView>
  </sheetViews>
  <sheetFormatPr defaultColWidth="9.26953125" defaultRowHeight="14.5" x14ac:dyDescent="0.35"/>
  <cols>
    <col min="1" max="1" width="54.1796875" customWidth="1"/>
    <col min="2" max="2" width="4.54296875" customWidth="1"/>
    <col min="3" max="3" width="7.54296875" bestFit="1" customWidth="1"/>
    <col min="4" max="4" width="14" bestFit="1" customWidth="1"/>
    <col min="5" max="5" width="16" bestFit="1" customWidth="1"/>
    <col min="6" max="6" width="13.7265625" bestFit="1" customWidth="1"/>
    <col min="7" max="9" width="13.7265625" customWidth="1"/>
    <col min="10" max="10" width="19.453125" bestFit="1" customWidth="1"/>
    <col min="11" max="11" width="4.54296875" customWidth="1"/>
    <col min="12" max="12" width="16" bestFit="1" customWidth="1"/>
    <col min="13" max="13" width="14.81640625" customWidth="1"/>
    <col min="14" max="17" width="13.81640625" customWidth="1"/>
    <col min="18" max="18" width="10.7265625" bestFit="1" customWidth="1"/>
    <col min="19" max="19" width="10.453125" bestFit="1" customWidth="1"/>
    <col min="20" max="20" width="10.26953125" bestFit="1" customWidth="1"/>
    <col min="21" max="21" width="11.1796875" customWidth="1"/>
    <col min="22" max="22" width="29.7265625" bestFit="1" customWidth="1"/>
  </cols>
  <sheetData>
    <row r="1" spans="1:17" x14ac:dyDescent="0.35">
      <c r="A1" s="140" t="s">
        <v>1031</v>
      </c>
      <c r="I1" s="124"/>
      <c r="M1" s="124"/>
    </row>
    <row r="2" spans="1:17" x14ac:dyDescent="0.35">
      <c r="D2" s="124" t="s">
        <v>1033</v>
      </c>
      <c r="E2" s="124"/>
      <c r="F2" s="124" t="s">
        <v>1034</v>
      </c>
      <c r="G2" s="124"/>
      <c r="H2" s="124" t="s">
        <v>1485</v>
      </c>
      <c r="I2" s="124"/>
      <c r="J2" s="124" t="s">
        <v>1035</v>
      </c>
      <c r="K2" s="124"/>
      <c r="L2" s="124" t="s">
        <v>300</v>
      </c>
      <c r="M2" s="124"/>
      <c r="N2" s="124"/>
      <c r="O2" s="124"/>
      <c r="P2" s="124"/>
      <c r="Q2" s="124"/>
    </row>
    <row r="3" spans="1:17" x14ac:dyDescent="0.35">
      <c r="A3" s="123" t="s">
        <v>1036</v>
      </c>
      <c r="B3" s="322"/>
      <c r="C3" s="322"/>
      <c r="D3" s="123" t="s">
        <v>1037</v>
      </c>
      <c r="E3" s="123" t="s">
        <v>1038</v>
      </c>
      <c r="F3" s="123" t="s">
        <v>1039</v>
      </c>
      <c r="G3" s="123" t="s">
        <v>1032</v>
      </c>
      <c r="H3" s="123" t="s">
        <v>1486</v>
      </c>
      <c r="I3" s="123" t="s">
        <v>1142</v>
      </c>
      <c r="J3" s="123" t="s">
        <v>1040</v>
      </c>
      <c r="K3" s="123"/>
      <c r="L3" s="123" t="s">
        <v>1041</v>
      </c>
      <c r="M3" s="123"/>
      <c r="N3" s="123"/>
      <c r="O3" s="123"/>
      <c r="P3" s="123"/>
      <c r="Q3" s="123"/>
    </row>
    <row r="5" spans="1:17" x14ac:dyDescent="0.35">
      <c r="A5" s="732" t="s">
        <v>1042</v>
      </c>
      <c r="B5" s="885" t="s">
        <v>1043</v>
      </c>
      <c r="C5" s="732" t="s">
        <v>1044</v>
      </c>
      <c r="D5" s="733"/>
      <c r="E5" s="1054">
        <v>-61857847.440000013</v>
      </c>
      <c r="F5" s="733"/>
      <c r="G5" s="733"/>
      <c r="H5" s="733"/>
      <c r="J5" s="733">
        <f t="shared" ref="J5:J59" si="0">SUM(D5:I5)</f>
        <v>-61857847.440000013</v>
      </c>
      <c r="K5" s="733"/>
      <c r="L5" s="733"/>
      <c r="M5" s="733"/>
      <c r="N5" s="733"/>
      <c r="O5" s="733"/>
      <c r="P5" s="733"/>
      <c r="Q5" s="733"/>
    </row>
    <row r="6" spans="1:17" x14ac:dyDescent="0.35">
      <c r="A6" s="732" t="s">
        <v>1045</v>
      </c>
      <c r="B6" s="885" t="s">
        <v>1043</v>
      </c>
      <c r="C6" s="732" t="s">
        <v>1046</v>
      </c>
      <c r="D6" s="734"/>
      <c r="E6" s="1055"/>
      <c r="F6" s="734"/>
      <c r="G6" s="734"/>
      <c r="H6" s="734"/>
      <c r="J6" s="733">
        <f t="shared" si="0"/>
        <v>0</v>
      </c>
      <c r="K6" s="734"/>
      <c r="L6" s="734"/>
      <c r="M6" s="734"/>
      <c r="N6" s="733"/>
      <c r="O6" s="733"/>
      <c r="P6" s="733"/>
      <c r="Q6" s="733"/>
    </row>
    <row r="7" spans="1:17" x14ac:dyDescent="0.35">
      <c r="A7" s="732" t="s">
        <v>1047</v>
      </c>
      <c r="B7" s="885" t="s">
        <v>1043</v>
      </c>
      <c r="C7" s="732" t="s">
        <v>1044</v>
      </c>
      <c r="D7" s="734"/>
      <c r="E7" s="1056">
        <v>-567469958.16891921</v>
      </c>
      <c r="F7" s="734"/>
      <c r="G7" s="734"/>
      <c r="H7" s="734"/>
      <c r="J7" s="733">
        <f t="shared" si="0"/>
        <v>-567469958.16891921</v>
      </c>
      <c r="K7" s="734"/>
      <c r="L7" s="734">
        <f>'Common Adj'!W45+'Common Adj'!W46+'Common Adj'!W47+'Common Adj'!W48</f>
        <v>-544647470.25</v>
      </c>
      <c r="M7" s="734"/>
      <c r="N7" s="733"/>
      <c r="O7" s="733"/>
      <c r="P7" s="733"/>
      <c r="Q7" s="733"/>
    </row>
    <row r="8" spans="1:17" x14ac:dyDescent="0.35">
      <c r="A8" s="732" t="s">
        <v>1048</v>
      </c>
      <c r="B8" s="885" t="s">
        <v>1043</v>
      </c>
      <c r="C8" s="732" t="s">
        <v>1044</v>
      </c>
      <c r="D8" s="734"/>
      <c r="E8" s="1056">
        <v>-37292558.707003511</v>
      </c>
      <c r="F8" s="734"/>
      <c r="G8" s="734"/>
      <c r="H8" s="734"/>
      <c r="J8" s="733">
        <f t="shared" si="0"/>
        <v>-37292558.707003511</v>
      </c>
      <c r="K8" s="734"/>
      <c r="L8" s="734">
        <f>'Common Adj'!W49</f>
        <v>-35637472.170000002</v>
      </c>
      <c r="M8" s="734"/>
      <c r="N8" s="733"/>
      <c r="O8" s="733"/>
      <c r="P8" s="733"/>
      <c r="Q8" s="733"/>
    </row>
    <row r="9" spans="1:17" x14ac:dyDescent="0.35">
      <c r="A9" s="732" t="s">
        <v>1049</v>
      </c>
      <c r="B9" s="885" t="s">
        <v>1043</v>
      </c>
      <c r="C9" s="732" t="s">
        <v>1044</v>
      </c>
      <c r="D9" s="734"/>
      <c r="E9" s="1056">
        <v>-23465708.625276089</v>
      </c>
      <c r="F9" s="734"/>
      <c r="G9" s="734"/>
      <c r="H9" s="734"/>
      <c r="J9" s="733">
        <f t="shared" si="0"/>
        <v>-23465708.625276089</v>
      </c>
      <c r="K9" s="734"/>
      <c r="L9" s="734"/>
      <c r="M9" s="734"/>
      <c r="N9" s="733"/>
      <c r="O9" s="733"/>
      <c r="P9" s="733"/>
      <c r="Q9" s="733"/>
    </row>
    <row r="10" spans="1:17" x14ac:dyDescent="0.35">
      <c r="A10" s="732" t="s">
        <v>1050</v>
      </c>
      <c r="B10" s="885" t="s">
        <v>1043</v>
      </c>
      <c r="C10" s="732" t="s">
        <v>1044</v>
      </c>
      <c r="D10" s="734"/>
      <c r="E10" s="1056">
        <v>-2838227.4896594137</v>
      </c>
      <c r="F10" s="734"/>
      <c r="G10" s="734"/>
      <c r="H10" s="734"/>
      <c r="J10" s="733">
        <f t="shared" si="0"/>
        <v>-2838227.4896594137</v>
      </c>
      <c r="K10" s="734"/>
      <c r="L10" s="734"/>
      <c r="M10" s="734"/>
      <c r="N10" s="733"/>
      <c r="O10" s="733"/>
      <c r="P10" s="733"/>
      <c r="Q10" s="733"/>
    </row>
    <row r="11" spans="1:17" x14ac:dyDescent="0.35">
      <c r="A11" s="732" t="s">
        <v>1051</v>
      </c>
      <c r="B11" s="885" t="s">
        <v>1043</v>
      </c>
      <c r="C11" s="732" t="s">
        <v>1044</v>
      </c>
      <c r="D11" s="734"/>
      <c r="E11" s="1056">
        <v>-1637721.5100000002</v>
      </c>
      <c r="F11" s="734"/>
      <c r="G11" s="734"/>
      <c r="H11" s="734"/>
      <c r="J11" s="733">
        <f t="shared" si="0"/>
        <v>-1637721.5100000002</v>
      </c>
      <c r="K11" s="734"/>
      <c r="L11" s="734">
        <f>'Common Adj'!W50</f>
        <v>-613110</v>
      </c>
      <c r="M11" s="734"/>
      <c r="N11" s="733"/>
      <c r="O11" s="733"/>
      <c r="P11" s="733"/>
      <c r="Q11" s="733"/>
    </row>
    <row r="12" spans="1:17" x14ac:dyDescent="0.35">
      <c r="A12" s="732" t="s">
        <v>1052</v>
      </c>
      <c r="B12" s="885" t="s">
        <v>1043</v>
      </c>
      <c r="C12" s="732" t="s">
        <v>1053</v>
      </c>
      <c r="D12" s="734"/>
      <c r="E12" s="886">
        <f>'G OOR'!F27</f>
        <v>764669.87</v>
      </c>
      <c r="F12" s="734"/>
      <c r="G12" s="734"/>
      <c r="H12" s="734"/>
      <c r="J12" s="733">
        <f t="shared" si="0"/>
        <v>764669.87</v>
      </c>
      <c r="K12" s="734"/>
      <c r="L12" s="734"/>
      <c r="M12" s="734"/>
      <c r="N12" s="733"/>
      <c r="O12" s="733"/>
      <c r="P12" s="733"/>
      <c r="Q12" s="733"/>
    </row>
    <row r="13" spans="1:17" x14ac:dyDescent="0.35">
      <c r="A13" s="732" t="s">
        <v>1477</v>
      </c>
      <c r="B13" s="885" t="s">
        <v>1043</v>
      </c>
      <c r="C13" s="732" t="s">
        <v>1044</v>
      </c>
      <c r="D13" s="734"/>
      <c r="E13" s="1056">
        <v>-514047.89</v>
      </c>
      <c r="F13" s="734"/>
      <c r="G13" s="734"/>
      <c r="H13" s="734"/>
      <c r="J13" s="733">
        <f t="shared" si="0"/>
        <v>-514047.89</v>
      </c>
      <c r="K13" s="734"/>
      <c r="L13" s="734">
        <f>'Common Adj'!W55</f>
        <v>-563886.96</v>
      </c>
      <c r="M13" s="734"/>
      <c r="N13" s="733"/>
      <c r="O13" s="733"/>
      <c r="P13" s="733"/>
      <c r="Q13" s="733"/>
    </row>
    <row r="14" spans="1:17" x14ac:dyDescent="0.35">
      <c r="A14" s="732" t="s">
        <v>1643</v>
      </c>
      <c r="B14" s="885" t="s">
        <v>1043</v>
      </c>
      <c r="C14" s="732" t="s">
        <v>1053</v>
      </c>
      <c r="D14" s="734"/>
      <c r="E14" s="886">
        <f>'G OOR'!F44</f>
        <v>20587.419999999998</v>
      </c>
      <c r="F14" s="734"/>
      <c r="G14" s="734"/>
      <c r="H14" s="734"/>
      <c r="J14" s="733">
        <f t="shared" si="0"/>
        <v>20587.419999999998</v>
      </c>
      <c r="K14" s="734"/>
      <c r="L14" s="734"/>
      <c r="M14" s="734"/>
      <c r="N14" s="733"/>
      <c r="O14" s="733"/>
      <c r="P14" s="733"/>
      <c r="Q14" s="733"/>
    </row>
    <row r="15" spans="1:17" x14ac:dyDescent="0.35">
      <c r="A15" s="732" t="s">
        <v>1054</v>
      </c>
      <c r="B15" s="885" t="s">
        <v>1043</v>
      </c>
      <c r="C15" s="732" t="s">
        <v>1044</v>
      </c>
      <c r="D15" s="734"/>
      <c r="E15" s="1056">
        <v>-21824180.434144862</v>
      </c>
      <c r="F15" s="734"/>
      <c r="G15" s="734"/>
      <c r="H15" s="734"/>
      <c r="J15" s="733">
        <f t="shared" si="0"/>
        <v>-21824180.434144862</v>
      </c>
      <c r="K15" s="734"/>
      <c r="L15" s="734"/>
      <c r="M15" s="734"/>
      <c r="N15" s="733"/>
      <c r="O15" s="733"/>
      <c r="P15" s="733"/>
      <c r="Q15" s="733"/>
    </row>
    <row r="16" spans="1:17" x14ac:dyDescent="0.35">
      <c r="A16" s="732" t="s">
        <v>1055</v>
      </c>
      <c r="B16" s="885" t="s">
        <v>1043</v>
      </c>
      <c r="C16" s="732" t="s">
        <v>1046</v>
      </c>
      <c r="D16" s="734"/>
      <c r="E16" s="1055"/>
      <c r="F16" s="734"/>
      <c r="G16" s="734"/>
      <c r="H16" s="734"/>
      <c r="J16" s="733">
        <f t="shared" si="0"/>
        <v>0</v>
      </c>
      <c r="K16" s="734"/>
      <c r="L16" s="734"/>
      <c r="M16" s="734"/>
      <c r="N16" s="734"/>
      <c r="O16" s="734"/>
      <c r="P16" s="734"/>
      <c r="Q16" s="734"/>
    </row>
    <row r="17" spans="1:17" x14ac:dyDescent="0.35">
      <c r="A17" s="732" t="s">
        <v>1056</v>
      </c>
      <c r="B17" s="885" t="s">
        <v>1043</v>
      </c>
      <c r="C17" s="732" t="s">
        <v>1044</v>
      </c>
      <c r="D17" s="1056">
        <v>-141410.32999999999</v>
      </c>
      <c r="F17" s="734"/>
      <c r="G17" s="734"/>
      <c r="H17" s="734"/>
      <c r="J17" s="733">
        <f t="shared" si="0"/>
        <v>-141410.32999999999</v>
      </c>
      <c r="K17" s="734"/>
      <c r="L17" s="734"/>
      <c r="M17" s="734"/>
      <c r="N17" s="734"/>
      <c r="O17" s="734"/>
      <c r="P17" s="734"/>
      <c r="Q17" s="734"/>
    </row>
    <row r="18" spans="1:17" x14ac:dyDescent="0.35">
      <c r="A18" s="732" t="s">
        <v>1057</v>
      </c>
      <c r="B18" s="885" t="s">
        <v>1043</v>
      </c>
      <c r="C18" s="732" t="s">
        <v>1046</v>
      </c>
      <c r="D18" s="1055"/>
      <c r="F18" s="734"/>
      <c r="G18" s="734"/>
      <c r="H18" s="734"/>
      <c r="J18" s="733">
        <f t="shared" si="0"/>
        <v>0</v>
      </c>
      <c r="K18" s="734"/>
      <c r="L18" s="734"/>
      <c r="M18" s="734"/>
      <c r="N18" s="734"/>
      <c r="O18" s="734"/>
      <c r="P18" s="734"/>
      <c r="Q18" s="734"/>
    </row>
    <row r="19" spans="1:17" x14ac:dyDescent="0.35">
      <c r="A19" s="732" t="s">
        <v>1591</v>
      </c>
      <c r="B19" s="885" t="s">
        <v>1043</v>
      </c>
      <c r="C19" s="732" t="s">
        <v>1044</v>
      </c>
      <c r="D19" s="1056">
        <v>-1572845.0222729845</v>
      </c>
      <c r="E19" s="734"/>
      <c r="F19" s="734"/>
      <c r="G19" s="734"/>
      <c r="H19" s="734"/>
      <c r="J19" s="733">
        <f t="shared" si="0"/>
        <v>-1572845.0222729845</v>
      </c>
      <c r="K19" s="734"/>
      <c r="L19" s="734"/>
      <c r="M19" s="734"/>
      <c r="N19" s="734"/>
      <c r="O19" s="734"/>
      <c r="P19" s="734"/>
      <c r="Q19" s="734"/>
    </row>
    <row r="20" spans="1:17" x14ac:dyDescent="0.35">
      <c r="A20" s="732" t="s">
        <v>1757</v>
      </c>
      <c r="B20" s="885" t="s">
        <v>1043</v>
      </c>
      <c r="C20" s="732" t="s">
        <v>1053</v>
      </c>
      <c r="D20" s="734">
        <f>E108</f>
        <v>1502765.34</v>
      </c>
      <c r="E20" s="734"/>
      <c r="F20" s="734"/>
      <c r="G20" s="734"/>
      <c r="H20" s="734"/>
      <c r="J20" s="733">
        <f t="shared" si="0"/>
        <v>1502765.34</v>
      </c>
      <c r="K20" s="734"/>
      <c r="L20" s="734"/>
      <c r="M20" s="734"/>
      <c r="N20" s="734"/>
      <c r="O20" s="734"/>
      <c r="P20" s="734"/>
      <c r="Q20" s="734"/>
    </row>
    <row r="21" spans="1:17" x14ac:dyDescent="0.35">
      <c r="A21" s="732" t="s">
        <v>1592</v>
      </c>
      <c r="B21" s="885" t="s">
        <v>1043</v>
      </c>
      <c r="C21" s="732" t="s">
        <v>1044</v>
      </c>
      <c r="D21" s="1056">
        <v>822488.22146331484</v>
      </c>
      <c r="E21" s="734"/>
      <c r="F21" s="734"/>
      <c r="G21" s="734"/>
      <c r="H21" s="734"/>
      <c r="J21" s="733">
        <f t="shared" si="0"/>
        <v>822488.22146331484</v>
      </c>
      <c r="K21" s="734"/>
      <c r="L21" s="734"/>
      <c r="M21" s="734"/>
      <c r="N21" s="734"/>
      <c r="O21" s="734"/>
      <c r="P21" s="734"/>
      <c r="Q21" s="734"/>
    </row>
    <row r="22" spans="1:17" x14ac:dyDescent="0.35">
      <c r="A22" s="732" t="s">
        <v>1593</v>
      </c>
      <c r="B22" s="885" t="s">
        <v>1043</v>
      </c>
      <c r="C22" s="732" t="s">
        <v>1046</v>
      </c>
      <c r="D22" s="734"/>
      <c r="E22" s="734"/>
      <c r="F22" s="734"/>
      <c r="G22" s="734"/>
      <c r="H22" s="734"/>
      <c r="J22" s="733">
        <f t="shared" si="0"/>
        <v>0</v>
      </c>
      <c r="K22" s="734"/>
      <c r="L22" s="734"/>
      <c r="M22" s="734"/>
      <c r="N22" s="734"/>
      <c r="O22" s="734"/>
      <c r="P22" s="734"/>
      <c r="Q22" s="734"/>
    </row>
    <row r="23" spans="1:17" x14ac:dyDescent="0.35">
      <c r="A23" s="732" t="s">
        <v>1594</v>
      </c>
      <c r="B23" s="885" t="s">
        <v>1043</v>
      </c>
      <c r="C23" s="732" t="s">
        <v>1044</v>
      </c>
      <c r="D23" s="1056">
        <v>-23537159.707467638</v>
      </c>
      <c r="E23" s="734"/>
      <c r="F23" s="734"/>
      <c r="G23" s="734"/>
      <c r="H23" s="734"/>
      <c r="J23" s="733">
        <f t="shared" si="0"/>
        <v>-23537159.707467638</v>
      </c>
      <c r="K23" s="734"/>
      <c r="L23" s="734"/>
      <c r="M23" s="734"/>
      <c r="N23" s="734"/>
      <c r="O23" s="734"/>
      <c r="P23" s="734"/>
      <c r="Q23" s="734"/>
    </row>
    <row r="24" spans="1:17" x14ac:dyDescent="0.35">
      <c r="A24" s="732" t="s">
        <v>1595</v>
      </c>
      <c r="B24" s="885" t="s">
        <v>1043</v>
      </c>
      <c r="C24" s="732" t="s">
        <v>1046</v>
      </c>
      <c r="D24" s="734"/>
      <c r="E24" s="734"/>
      <c r="F24" s="734"/>
      <c r="G24" s="734"/>
      <c r="H24" s="734"/>
      <c r="J24" s="733">
        <f t="shared" si="0"/>
        <v>0</v>
      </c>
      <c r="K24" s="734"/>
      <c r="L24" s="734"/>
      <c r="M24" s="734"/>
      <c r="N24" s="734"/>
      <c r="O24" s="734"/>
      <c r="P24" s="734"/>
      <c r="Q24" s="734"/>
    </row>
    <row r="25" spans="1:17" x14ac:dyDescent="0.35">
      <c r="A25" s="732" t="s">
        <v>1058</v>
      </c>
      <c r="B25" s="885" t="s">
        <v>1043</v>
      </c>
      <c r="C25" s="732" t="s">
        <v>1044</v>
      </c>
      <c r="D25" s="1056">
        <v>-1237567.6443086741</v>
      </c>
      <c r="E25" s="734"/>
      <c r="F25" s="734"/>
      <c r="G25" s="734"/>
      <c r="H25" s="734"/>
      <c r="J25" s="733">
        <f t="shared" si="0"/>
        <v>-1237567.6443086741</v>
      </c>
      <c r="K25" s="734"/>
      <c r="L25" s="734"/>
      <c r="M25" s="734"/>
      <c r="N25" s="734"/>
      <c r="O25" s="734"/>
      <c r="P25" s="734"/>
      <c r="Q25" s="734"/>
    </row>
    <row r="26" spans="1:17" x14ac:dyDescent="0.35">
      <c r="A26" s="732" t="s">
        <v>1059</v>
      </c>
      <c r="B26" s="885" t="s">
        <v>1043</v>
      </c>
      <c r="C26" s="732" t="s">
        <v>1046</v>
      </c>
      <c r="D26" s="1055"/>
      <c r="E26" s="734"/>
      <c r="F26" s="734"/>
      <c r="G26" s="734"/>
      <c r="H26" s="734"/>
      <c r="J26" s="733">
        <f t="shared" si="0"/>
        <v>0</v>
      </c>
      <c r="K26" s="734"/>
      <c r="L26" s="734"/>
      <c r="M26" s="734"/>
      <c r="N26" s="734"/>
      <c r="O26" s="734"/>
      <c r="P26" s="734"/>
      <c r="Q26" s="734"/>
    </row>
    <row r="27" spans="1:17" x14ac:dyDescent="0.35">
      <c r="A27" s="732" t="s">
        <v>1060</v>
      </c>
      <c r="B27" s="885" t="s">
        <v>1043</v>
      </c>
      <c r="C27" s="732" t="s">
        <v>1044</v>
      </c>
      <c r="D27" s="1056">
        <v>565.40000000000202</v>
      </c>
      <c r="E27" s="734"/>
      <c r="F27" s="734"/>
      <c r="G27" s="734"/>
      <c r="H27" s="734"/>
      <c r="J27" s="733">
        <f t="shared" si="0"/>
        <v>565.40000000000202</v>
      </c>
      <c r="K27" s="734"/>
      <c r="L27" s="734"/>
      <c r="M27" s="734"/>
      <c r="N27" s="734"/>
      <c r="O27" s="734"/>
      <c r="P27" s="734"/>
      <c r="Q27" s="734"/>
    </row>
    <row r="28" spans="1:17" x14ac:dyDescent="0.35">
      <c r="A28" s="732" t="s">
        <v>1061</v>
      </c>
      <c r="B28" s="885" t="s">
        <v>1043</v>
      </c>
      <c r="C28" s="732" t="s">
        <v>1046</v>
      </c>
      <c r="D28" s="1055"/>
      <c r="E28" s="734"/>
      <c r="F28" s="734"/>
      <c r="G28" s="734"/>
      <c r="H28" s="734"/>
      <c r="J28" s="733">
        <f t="shared" si="0"/>
        <v>0</v>
      </c>
      <c r="K28" s="734"/>
      <c r="L28" s="734"/>
      <c r="M28" s="734"/>
      <c r="N28" s="734"/>
      <c r="O28" s="734"/>
      <c r="P28" s="734"/>
      <c r="Q28" s="734"/>
    </row>
    <row r="29" spans="1:17" x14ac:dyDescent="0.35">
      <c r="A29" s="732" t="s">
        <v>1062</v>
      </c>
      <c r="B29" s="885" t="s">
        <v>1043</v>
      </c>
      <c r="C29" s="732" t="s">
        <v>1044</v>
      </c>
      <c r="D29" s="1056">
        <v>1264106.10987873</v>
      </c>
      <c r="E29" s="734"/>
      <c r="F29" s="734"/>
      <c r="G29" s="734"/>
      <c r="H29" s="734"/>
      <c r="J29" s="733">
        <f t="shared" si="0"/>
        <v>1264106.10987873</v>
      </c>
      <c r="K29" s="734"/>
      <c r="L29" s="734"/>
      <c r="M29" s="734"/>
      <c r="N29" s="734"/>
      <c r="O29" s="734"/>
      <c r="P29" s="734"/>
      <c r="Q29" s="734"/>
    </row>
    <row r="30" spans="1:17" x14ac:dyDescent="0.35">
      <c r="A30" s="732" t="s">
        <v>1063</v>
      </c>
      <c r="B30" s="885" t="s">
        <v>1043</v>
      </c>
      <c r="C30" s="732" t="s">
        <v>1046</v>
      </c>
      <c r="D30" s="734"/>
      <c r="E30" s="734"/>
      <c r="F30" s="734"/>
      <c r="G30" s="734"/>
      <c r="H30" s="734"/>
      <c r="J30" s="733">
        <f t="shared" si="0"/>
        <v>0</v>
      </c>
      <c r="K30" s="734"/>
      <c r="L30" s="734"/>
      <c r="M30" s="734"/>
      <c r="N30" s="734"/>
      <c r="O30" s="734"/>
      <c r="P30" s="734"/>
      <c r="Q30" s="734"/>
    </row>
    <row r="31" spans="1:17" x14ac:dyDescent="0.35">
      <c r="A31" s="732" t="s">
        <v>1064</v>
      </c>
      <c r="B31" s="885" t="s">
        <v>1043</v>
      </c>
      <c r="C31" s="732" t="s">
        <v>1044</v>
      </c>
      <c r="D31" s="734"/>
      <c r="E31" s="1056">
        <v>-10761434.945314044</v>
      </c>
      <c r="F31" s="734"/>
      <c r="G31" s="734"/>
      <c r="H31" s="734"/>
      <c r="J31" s="733">
        <f t="shared" si="0"/>
        <v>-10761434.945314044</v>
      </c>
      <c r="K31" s="734"/>
      <c r="L31" s="734"/>
      <c r="M31" s="734"/>
      <c r="N31" s="734"/>
      <c r="O31" s="734"/>
      <c r="P31" s="734"/>
      <c r="Q31" s="734"/>
    </row>
    <row r="32" spans="1:17" x14ac:dyDescent="0.35">
      <c r="A32" s="732" t="s">
        <v>1065</v>
      </c>
      <c r="B32" s="885" t="s">
        <v>1043</v>
      </c>
      <c r="C32" s="732" t="s">
        <v>1053</v>
      </c>
      <c r="D32" s="734"/>
      <c r="E32" s="886">
        <f>SUM('G OOR'!F38:F39,'G OOR'!F42)</f>
        <v>10273081.529999999</v>
      </c>
      <c r="F32" s="734"/>
      <c r="G32" s="734"/>
      <c r="H32" s="734"/>
      <c r="J32" s="733">
        <f t="shared" si="0"/>
        <v>10273081.529999999</v>
      </c>
      <c r="K32" s="734"/>
      <c r="L32" s="734"/>
      <c r="M32" s="734"/>
      <c r="N32" s="734"/>
      <c r="O32" s="734"/>
      <c r="P32" s="734"/>
      <c r="Q32" s="734"/>
    </row>
    <row r="33" spans="1:17" x14ac:dyDescent="0.35">
      <c r="A33" s="732" t="s">
        <v>1066</v>
      </c>
      <c r="B33" s="887" t="s">
        <v>1067</v>
      </c>
      <c r="C33" s="732" t="s">
        <v>1044</v>
      </c>
      <c r="D33" s="1056">
        <v>-11478597.794676207</v>
      </c>
      <c r="E33" s="734"/>
      <c r="F33" s="734"/>
      <c r="G33" s="734"/>
      <c r="H33" s="734"/>
      <c r="J33" s="733">
        <f t="shared" si="0"/>
        <v>-11478597.794676207</v>
      </c>
      <c r="K33" s="734"/>
      <c r="L33" s="734"/>
      <c r="M33" s="734"/>
      <c r="N33" s="734"/>
      <c r="O33" s="734"/>
      <c r="P33" s="734"/>
      <c r="Q33" s="734"/>
    </row>
    <row r="34" spans="1:17" s="736" customFormat="1" x14ac:dyDescent="0.35">
      <c r="A34" s="732" t="s">
        <v>1068</v>
      </c>
      <c r="B34" s="885" t="s">
        <v>1043</v>
      </c>
      <c r="C34" s="732" t="s">
        <v>1044</v>
      </c>
      <c r="D34" s="1056">
        <v>251691.05542156979</v>
      </c>
      <c r="E34" s="735"/>
      <c r="F34" s="735"/>
      <c r="G34" s="735"/>
      <c r="H34" s="735"/>
      <c r="I34"/>
      <c r="J34" s="733">
        <f t="shared" si="0"/>
        <v>251691.05542156979</v>
      </c>
      <c r="K34" s="735"/>
      <c r="L34" s="735"/>
      <c r="M34" s="735"/>
      <c r="N34" s="734"/>
      <c r="O34" s="734"/>
      <c r="P34" s="734"/>
      <c r="Q34" s="735"/>
    </row>
    <row r="35" spans="1:17" x14ac:dyDescent="0.35">
      <c r="A35" t="s">
        <v>1069</v>
      </c>
      <c r="B35" s="885" t="s">
        <v>1043</v>
      </c>
      <c r="C35" s="732" t="s">
        <v>1046</v>
      </c>
      <c r="D35" s="1055">
        <f>'G OOR'!E21</f>
        <v>-374.35</v>
      </c>
      <c r="E35" s="734"/>
      <c r="F35" s="734"/>
      <c r="G35" s="734"/>
      <c r="H35" s="734"/>
      <c r="J35" s="733">
        <f t="shared" si="0"/>
        <v>-374.35</v>
      </c>
      <c r="K35" s="734"/>
      <c r="L35" s="735"/>
      <c r="M35" s="734"/>
      <c r="Q35" s="734"/>
    </row>
    <row r="36" spans="1:17" x14ac:dyDescent="0.35">
      <c r="A36" t="s">
        <v>1070</v>
      </c>
      <c r="B36" s="887" t="s">
        <v>1067</v>
      </c>
      <c r="C36" s="732" t="s">
        <v>1053</v>
      </c>
      <c r="D36" s="886">
        <f>SUM('G OOR'!L36:L41)</f>
        <v>-479274.91999999993</v>
      </c>
      <c r="E36" s="734"/>
      <c r="F36" s="734"/>
      <c r="G36" s="734"/>
      <c r="H36" s="734"/>
      <c r="J36" s="733">
        <f t="shared" si="0"/>
        <v>-479274.91999999993</v>
      </c>
      <c r="K36" s="734"/>
      <c r="L36" s="735"/>
      <c r="M36" s="734"/>
      <c r="Q36" s="734"/>
    </row>
    <row r="37" spans="1:17" x14ac:dyDescent="0.35">
      <c r="A37" s="732" t="s">
        <v>1435</v>
      </c>
      <c r="B37" s="887" t="s">
        <v>1067</v>
      </c>
      <c r="C37" s="732" t="s">
        <v>1053</v>
      </c>
      <c r="D37" s="886">
        <f>SUM('G OOR'!L23:L31)</f>
        <v>-357660.75</v>
      </c>
      <c r="E37" s="734"/>
      <c r="F37" s="734"/>
      <c r="G37" s="734"/>
      <c r="H37" s="734"/>
      <c r="J37" s="733">
        <f t="shared" si="0"/>
        <v>-357660.75</v>
      </c>
      <c r="K37" s="734"/>
      <c r="L37" s="735"/>
      <c r="M37" s="734"/>
      <c r="Q37" s="734"/>
    </row>
    <row r="38" spans="1:17" x14ac:dyDescent="0.35">
      <c r="A38" s="732" t="s">
        <v>1436</v>
      </c>
      <c r="B38" s="885" t="s">
        <v>1043</v>
      </c>
      <c r="C38" s="732" t="s">
        <v>1053</v>
      </c>
      <c r="D38" s="886">
        <f>'G OOR'!E26</f>
        <v>1270884.8999999999</v>
      </c>
      <c r="E38" s="734"/>
      <c r="F38" s="734"/>
      <c r="G38" s="734"/>
      <c r="H38" s="734"/>
      <c r="J38" s="733">
        <f t="shared" si="0"/>
        <v>1270884.8999999999</v>
      </c>
      <c r="K38" s="734"/>
      <c r="L38" s="735"/>
      <c r="M38" s="734"/>
      <c r="Q38" s="734"/>
    </row>
    <row r="39" spans="1:17" x14ac:dyDescent="0.35">
      <c r="A39" s="732" t="s">
        <v>1437</v>
      </c>
      <c r="B39" s="885" t="s">
        <v>1043</v>
      </c>
      <c r="C39" s="732" t="s">
        <v>1053</v>
      </c>
      <c r="D39" s="734"/>
      <c r="E39" s="734"/>
      <c r="F39" s="734"/>
      <c r="G39" s="886">
        <f>'G OOR'!G40</f>
        <v>-3844168.62</v>
      </c>
      <c r="H39" s="734"/>
      <c r="I39" s="734"/>
      <c r="J39" s="733">
        <f t="shared" si="0"/>
        <v>-3844168.62</v>
      </c>
      <c r="K39" s="734"/>
      <c r="L39" s="735"/>
      <c r="M39" s="734"/>
      <c r="Q39" s="734"/>
    </row>
    <row r="40" spans="1:17" x14ac:dyDescent="0.35">
      <c r="A40" s="732"/>
      <c r="B40" s="885"/>
      <c r="C40" s="732"/>
      <c r="D40" s="734"/>
      <c r="E40" s="734"/>
      <c r="F40" s="734"/>
      <c r="G40" s="734"/>
      <c r="H40" s="886"/>
      <c r="I40" s="734"/>
      <c r="J40" s="733">
        <f t="shared" si="0"/>
        <v>0</v>
      </c>
      <c r="K40" s="734"/>
      <c r="L40" s="735"/>
      <c r="M40" s="734"/>
      <c r="Q40" s="734"/>
    </row>
    <row r="41" spans="1:17" x14ac:dyDescent="0.35">
      <c r="A41" t="s">
        <v>1193</v>
      </c>
      <c r="B41" s="887" t="s">
        <v>1067</v>
      </c>
      <c r="C41" s="732" t="s">
        <v>1053</v>
      </c>
      <c r="D41" s="734"/>
      <c r="E41" s="734"/>
      <c r="F41" s="734"/>
      <c r="G41" s="734"/>
      <c r="H41" s="734"/>
      <c r="I41" s="886">
        <f>'G OOR'!M32</f>
        <v>-781550.98969929898</v>
      </c>
      <c r="J41" s="733">
        <f t="shared" si="0"/>
        <v>-781550.98969929898</v>
      </c>
      <c r="K41" s="734"/>
      <c r="L41" s="735"/>
      <c r="M41" s="734"/>
      <c r="Q41" s="734"/>
    </row>
    <row r="42" spans="1:17" x14ac:dyDescent="0.35">
      <c r="A42" t="s">
        <v>1195</v>
      </c>
      <c r="B42" s="887" t="s">
        <v>1067</v>
      </c>
      <c r="C42" s="732" t="s">
        <v>1053</v>
      </c>
      <c r="D42" s="734"/>
      <c r="E42" s="734"/>
      <c r="F42" s="734"/>
      <c r="G42" s="734"/>
      <c r="H42" s="734"/>
      <c r="I42" s="886">
        <f>'G OOR'!M33</f>
        <v>-555241.37859829003</v>
      </c>
      <c r="J42" s="733">
        <f t="shared" si="0"/>
        <v>-555241.37859829003</v>
      </c>
      <c r="K42" s="734"/>
      <c r="L42" s="735"/>
      <c r="M42" s="734"/>
      <c r="Q42" s="734"/>
    </row>
    <row r="43" spans="1:17" x14ac:dyDescent="0.35">
      <c r="A43" t="s">
        <v>1193</v>
      </c>
      <c r="B43" s="732" t="s">
        <v>1072</v>
      </c>
      <c r="C43" s="732" t="s">
        <v>1053</v>
      </c>
      <c r="D43" s="734"/>
      <c r="E43" s="734"/>
      <c r="F43" s="734"/>
      <c r="G43" s="734"/>
      <c r="H43" s="734"/>
      <c r="I43" s="886">
        <f>'G OOR'!R32</f>
        <v>-25211.314849649556</v>
      </c>
      <c r="J43" s="733">
        <f t="shared" ref="J43:J44" si="1">SUM(D43:I43)</f>
        <v>-25211.314849649556</v>
      </c>
      <c r="K43" s="734"/>
      <c r="L43" s="735"/>
      <c r="M43" s="734"/>
      <c r="Q43" s="734"/>
    </row>
    <row r="44" spans="1:17" x14ac:dyDescent="0.35">
      <c r="A44" t="s">
        <v>1195</v>
      </c>
      <c r="B44" s="732" t="s">
        <v>1072</v>
      </c>
      <c r="C44" s="732" t="s">
        <v>1053</v>
      </c>
      <c r="D44" s="734"/>
      <c r="E44" s="734"/>
      <c r="F44" s="734"/>
      <c r="G44" s="734"/>
      <c r="H44" s="734"/>
      <c r="I44" s="886">
        <f>'G OOR'!R33</f>
        <v>-17911.429299145238</v>
      </c>
      <c r="J44" s="733">
        <f t="shared" si="1"/>
        <v>-17911.429299145238</v>
      </c>
      <c r="K44" s="734"/>
      <c r="L44" s="735"/>
      <c r="M44" s="734"/>
      <c r="Q44" s="734"/>
    </row>
    <row r="45" spans="1:17" x14ac:dyDescent="0.35">
      <c r="A45" t="s">
        <v>1193</v>
      </c>
      <c r="B45" s="732" t="s">
        <v>1074</v>
      </c>
      <c r="C45" s="732" t="s">
        <v>1053</v>
      </c>
      <c r="D45" s="734"/>
      <c r="E45" s="734"/>
      <c r="F45" s="734"/>
      <c r="G45" s="734"/>
      <c r="H45" s="734"/>
      <c r="I45" s="886">
        <f>'G OOR'!AB32</f>
        <v>1537890.6645489514</v>
      </c>
      <c r="J45" s="733">
        <f t="shared" si="0"/>
        <v>1537890.6645489514</v>
      </c>
      <c r="K45" s="734"/>
      <c r="L45" s="735"/>
      <c r="M45" s="734"/>
      <c r="Q45" s="734"/>
    </row>
    <row r="46" spans="1:17" x14ac:dyDescent="0.35">
      <c r="A46" t="s">
        <v>1195</v>
      </c>
      <c r="B46" s="732" t="s">
        <v>1074</v>
      </c>
      <c r="C46" s="732" t="s">
        <v>1053</v>
      </c>
      <c r="D46" s="734"/>
      <c r="E46" s="734"/>
      <c r="F46" s="734"/>
      <c r="G46" s="734"/>
      <c r="H46" s="734"/>
      <c r="I46" s="886">
        <f>'G OOR'!AB33</f>
        <v>1092571.7571965803</v>
      </c>
      <c r="J46" s="733">
        <f t="shared" si="0"/>
        <v>1092571.7571965803</v>
      </c>
      <c r="K46" s="734"/>
      <c r="L46" s="735"/>
      <c r="M46" s="734"/>
      <c r="Q46" s="734"/>
    </row>
    <row r="47" spans="1:17" x14ac:dyDescent="0.35">
      <c r="A47" s="732" t="s">
        <v>1071</v>
      </c>
      <c r="B47" s="885" t="s">
        <v>1043</v>
      </c>
      <c r="C47" s="732" t="s">
        <v>1053</v>
      </c>
      <c r="D47" s="886">
        <f>SUM('G OOR'!E19:E20)</f>
        <v>-2661743.88</v>
      </c>
      <c r="E47" s="734"/>
      <c r="F47" s="734"/>
      <c r="G47" s="734"/>
      <c r="H47" s="734"/>
      <c r="J47" s="733">
        <f t="shared" si="0"/>
        <v>-2661743.88</v>
      </c>
      <c r="K47" s="734"/>
      <c r="L47" s="735"/>
      <c r="M47" s="734"/>
      <c r="Q47" s="734"/>
    </row>
    <row r="48" spans="1:17" x14ac:dyDescent="0.35">
      <c r="A48" s="268" t="s">
        <v>1438</v>
      </c>
      <c r="B48" s="1057" t="s">
        <v>1043</v>
      </c>
      <c r="C48" s="1058" t="s">
        <v>1044</v>
      </c>
      <c r="D48" s="1059">
        <v>2964723.5896382895</v>
      </c>
      <c r="E48" s="888"/>
      <c r="F48" s="888"/>
      <c r="G48" s="888"/>
      <c r="H48" s="888"/>
      <c r="I48" s="669"/>
      <c r="J48" s="733">
        <f t="shared" si="0"/>
        <v>2964723.5896382895</v>
      </c>
      <c r="K48" s="888"/>
      <c r="L48" s="888"/>
      <c r="M48" s="888"/>
      <c r="Q48" s="734"/>
    </row>
    <row r="49" spans="1:17" x14ac:dyDescent="0.35">
      <c r="A49" s="268" t="s">
        <v>1439</v>
      </c>
      <c r="B49" s="1057" t="s">
        <v>1043</v>
      </c>
      <c r="C49" s="1058" t="s">
        <v>1044</v>
      </c>
      <c r="D49" s="1059">
        <v>-1560436.0505579826</v>
      </c>
      <c r="E49" s="888"/>
      <c r="F49" s="888"/>
      <c r="G49" s="888"/>
      <c r="H49" s="888"/>
      <c r="I49" s="669"/>
      <c r="J49" s="733">
        <f t="shared" si="0"/>
        <v>-1560436.0505579826</v>
      </c>
      <c r="K49" s="888"/>
      <c r="L49" s="888"/>
      <c r="M49" s="888"/>
      <c r="Q49" s="734"/>
    </row>
    <row r="50" spans="1:17" x14ac:dyDescent="0.35">
      <c r="A50" s="268" t="s">
        <v>1440</v>
      </c>
      <c r="B50" s="1057" t="s">
        <v>1043</v>
      </c>
      <c r="C50" s="1058" t="s">
        <v>1044</v>
      </c>
      <c r="D50" s="1059">
        <v>44651001.892138109</v>
      </c>
      <c r="E50" s="888"/>
      <c r="F50" s="888"/>
      <c r="G50" s="888"/>
      <c r="H50" s="888"/>
      <c r="I50" s="669"/>
      <c r="J50" s="733">
        <f t="shared" si="0"/>
        <v>44651001.892138109</v>
      </c>
      <c r="K50" s="888"/>
      <c r="L50" s="888"/>
      <c r="M50" s="888"/>
      <c r="Q50" s="734"/>
    </row>
    <row r="51" spans="1:17" x14ac:dyDescent="0.35">
      <c r="A51" t="s">
        <v>1441</v>
      </c>
      <c r="B51" s="887" t="s">
        <v>1067</v>
      </c>
      <c r="C51" s="732" t="s">
        <v>1044</v>
      </c>
      <c r="D51" s="1056">
        <v>-2964723.5896382895</v>
      </c>
      <c r="E51" s="734"/>
      <c r="F51" s="734"/>
      <c r="G51" s="734"/>
      <c r="H51" s="734"/>
      <c r="J51" s="733">
        <f t="shared" si="0"/>
        <v>-2964723.5896382895</v>
      </c>
      <c r="K51" s="734"/>
      <c r="L51" s="734"/>
      <c r="M51" s="734"/>
      <c r="Q51" s="734"/>
    </row>
    <row r="52" spans="1:17" x14ac:dyDescent="0.35">
      <c r="A52" t="s">
        <v>1442</v>
      </c>
      <c r="B52" s="887" t="s">
        <v>1067</v>
      </c>
      <c r="C52" s="732" t="s">
        <v>1044</v>
      </c>
      <c r="D52" s="1056">
        <v>1560436.0505579826</v>
      </c>
      <c r="E52" s="734"/>
      <c r="F52" s="734"/>
      <c r="G52" s="734"/>
      <c r="H52" s="734"/>
      <c r="J52" s="733">
        <f t="shared" si="0"/>
        <v>1560436.0505579826</v>
      </c>
      <c r="K52" s="734"/>
      <c r="L52" s="734"/>
      <c r="M52" s="734"/>
      <c r="Q52" s="734"/>
    </row>
    <row r="53" spans="1:17" x14ac:dyDescent="0.35">
      <c r="A53" t="s">
        <v>1443</v>
      </c>
      <c r="B53" s="887" t="s">
        <v>1067</v>
      </c>
      <c r="C53" s="732" t="s">
        <v>1044</v>
      </c>
      <c r="D53" s="1056">
        <v>-44651001.892138109</v>
      </c>
      <c r="E53" s="734"/>
      <c r="F53" s="734"/>
      <c r="G53" s="734"/>
      <c r="H53" s="734"/>
      <c r="J53" s="733">
        <f t="shared" si="0"/>
        <v>-44651001.892138109</v>
      </c>
      <c r="K53" s="734"/>
      <c r="L53" s="734"/>
      <c r="M53" s="734"/>
      <c r="Q53" s="734"/>
    </row>
    <row r="54" spans="1:17" x14ac:dyDescent="0.35">
      <c r="A54" t="s">
        <v>1644</v>
      </c>
      <c r="B54" s="885" t="s">
        <v>1043</v>
      </c>
      <c r="C54" s="732" t="s">
        <v>1044</v>
      </c>
      <c r="D54" s="1056">
        <v>21521924.117577225</v>
      </c>
      <c r="E54" s="734"/>
      <c r="J54" s="733">
        <f t="shared" si="0"/>
        <v>21521924.117577225</v>
      </c>
      <c r="K54" s="734"/>
      <c r="L54" s="734"/>
      <c r="M54" s="734"/>
      <c r="Q54" s="734"/>
    </row>
    <row r="55" spans="1:17" x14ac:dyDescent="0.35">
      <c r="A55" t="s">
        <v>1645</v>
      </c>
      <c r="B55" s="885" t="s">
        <v>1043</v>
      </c>
      <c r="C55" s="732" t="s">
        <v>1044</v>
      </c>
      <c r="D55" s="1056">
        <v>-774015.48827239987</v>
      </c>
      <c r="E55" s="734"/>
      <c r="J55" s="733">
        <f t="shared" si="0"/>
        <v>-774015.48827239987</v>
      </c>
      <c r="K55" s="734"/>
      <c r="L55" s="734"/>
      <c r="M55" s="734"/>
      <c r="Q55" s="734"/>
    </row>
    <row r="56" spans="1:17" x14ac:dyDescent="0.35">
      <c r="A56" t="s">
        <v>1646</v>
      </c>
      <c r="B56" s="885" t="s">
        <v>1043</v>
      </c>
      <c r="C56" s="732" t="s">
        <v>1044</v>
      </c>
      <c r="D56" s="1056">
        <v>0</v>
      </c>
      <c r="E56" s="734"/>
      <c r="J56" s="733">
        <f t="shared" si="0"/>
        <v>0</v>
      </c>
      <c r="K56" s="734"/>
      <c r="L56" s="734"/>
      <c r="M56" s="734"/>
      <c r="Q56" s="734"/>
    </row>
    <row r="57" spans="1:17" x14ac:dyDescent="0.35">
      <c r="A57" t="s">
        <v>1794</v>
      </c>
      <c r="B57" s="885" t="s">
        <v>1043</v>
      </c>
      <c r="C57" s="732" t="s">
        <v>1044</v>
      </c>
      <c r="D57" s="1056"/>
      <c r="E57" s="734"/>
      <c r="J57" s="733">
        <f t="shared" si="0"/>
        <v>0</v>
      </c>
      <c r="K57" s="734"/>
      <c r="L57" s="734"/>
      <c r="M57" s="734"/>
      <c r="Q57" s="734"/>
    </row>
    <row r="58" spans="1:17" x14ac:dyDescent="0.35">
      <c r="A58" s="732" t="s">
        <v>1795</v>
      </c>
      <c r="B58" s="885" t="s">
        <v>1043</v>
      </c>
      <c r="C58" s="732" t="s">
        <v>1044</v>
      </c>
      <c r="D58" s="734"/>
      <c r="E58" s="734"/>
      <c r="F58" s="1056">
        <v>-90596.170162767172</v>
      </c>
      <c r="G58" s="734"/>
      <c r="H58" s="734"/>
      <c r="J58" s="733">
        <f t="shared" si="0"/>
        <v>-90596.170162767172</v>
      </c>
      <c r="K58" s="734"/>
      <c r="L58" s="734">
        <f>'Common Adj'!UB32</f>
        <v>-129012602</v>
      </c>
      <c r="M58" s="734"/>
      <c r="N58" s="734"/>
      <c r="Q58" s="734"/>
    </row>
    <row r="59" spans="1:17" x14ac:dyDescent="0.35">
      <c r="A59" s="732" t="s">
        <v>1796</v>
      </c>
      <c r="B59" s="885" t="s">
        <v>1067</v>
      </c>
      <c r="C59" s="732" t="s">
        <v>1044</v>
      </c>
      <c r="D59" s="734"/>
      <c r="E59" s="734"/>
      <c r="F59" s="1056">
        <v>-23455855.920842834</v>
      </c>
      <c r="G59" s="734"/>
      <c r="H59" s="734"/>
      <c r="J59" s="733">
        <f t="shared" si="0"/>
        <v>-23455855.920842834</v>
      </c>
      <c r="K59" s="734"/>
      <c r="L59" s="734"/>
      <c r="M59" s="734"/>
      <c r="N59" s="734"/>
      <c r="Q59" s="734"/>
    </row>
    <row r="60" spans="1:17" s="736" customFormat="1" x14ac:dyDescent="0.35">
      <c r="A60" s="140" t="s">
        <v>1444</v>
      </c>
      <c r="B60" s="732"/>
      <c r="C60" s="732"/>
      <c r="D60" s="1108">
        <f>SUM(D4:D59)</f>
        <v>-15606224.742657075</v>
      </c>
      <c r="E60" s="1108">
        <f t="shared" ref="E60:J60" si="2">SUM(E4:E59)</f>
        <v>-716603346.3903172</v>
      </c>
      <c r="F60" s="1108">
        <f t="shared" si="2"/>
        <v>-23546452.091005601</v>
      </c>
      <c r="G60" s="1108">
        <f t="shared" si="2"/>
        <v>-3844168.62</v>
      </c>
      <c r="H60" s="1108">
        <f t="shared" si="2"/>
        <v>0</v>
      </c>
      <c r="I60" s="1108">
        <f t="shared" si="2"/>
        <v>1250547.3092991479</v>
      </c>
      <c r="J60" s="1108">
        <f t="shared" si="2"/>
        <v>-758349644.53468072</v>
      </c>
      <c r="K60" s="734"/>
      <c r="L60" s="1108">
        <f>SUM(L4:L59)</f>
        <v>-710474541.38</v>
      </c>
      <c r="M60" s="734"/>
      <c r="N60" s="734"/>
      <c r="O60" s="140"/>
      <c r="P60" s="140"/>
      <c r="Q60" s="735"/>
    </row>
    <row r="61" spans="1:17" x14ac:dyDescent="0.35">
      <c r="A61" s="140" t="s">
        <v>1445</v>
      </c>
      <c r="B61" s="732"/>
      <c r="C61" s="732"/>
      <c r="D61" s="732"/>
      <c r="E61" s="732"/>
      <c r="F61" s="732"/>
      <c r="G61" s="732"/>
      <c r="H61" s="732"/>
      <c r="I61" s="732"/>
      <c r="J61" s="733"/>
      <c r="K61" s="734"/>
      <c r="L61" s="734"/>
      <c r="M61" s="734"/>
      <c r="N61" s="734"/>
      <c r="O61" s="140"/>
      <c r="P61" s="140"/>
      <c r="Q61" s="734"/>
    </row>
    <row r="62" spans="1:17" x14ac:dyDescent="0.35">
      <c r="A62" t="s">
        <v>1449</v>
      </c>
      <c r="B62" s="732" t="s">
        <v>1072</v>
      </c>
      <c r="C62" s="732" t="s">
        <v>1044</v>
      </c>
      <c r="D62" s="732"/>
      <c r="E62" s="732"/>
      <c r="F62" s="732"/>
      <c r="G62" s="732"/>
      <c r="H62" s="732"/>
      <c r="I62" s="732"/>
      <c r="J62" s="733"/>
      <c r="K62" s="734"/>
      <c r="L62" s="734"/>
      <c r="M62" s="734"/>
      <c r="N62" s="734"/>
      <c r="O62" s="140"/>
      <c r="P62" s="140"/>
      <c r="Q62" s="734"/>
    </row>
    <row r="63" spans="1:17" s="736" customFormat="1" x14ac:dyDescent="0.35">
      <c r="A63" t="s">
        <v>1446</v>
      </c>
      <c r="B63" s="732" t="s">
        <v>1072</v>
      </c>
      <c r="C63" s="732" t="s">
        <v>1044</v>
      </c>
      <c r="D63" s="734"/>
      <c r="E63" s="735"/>
      <c r="F63" s="735"/>
      <c r="G63" s="735"/>
      <c r="H63" s="735"/>
      <c r="I63"/>
      <c r="J63" s="733">
        <f>SUM(D63:I63)</f>
        <v>0</v>
      </c>
      <c r="K63" s="734"/>
      <c r="L63" s="734"/>
      <c r="M63" s="734"/>
      <c r="N63"/>
      <c r="O63"/>
      <c r="P63"/>
      <c r="Q63" s="735"/>
    </row>
    <row r="64" spans="1:17" x14ac:dyDescent="0.35">
      <c r="A64" t="s">
        <v>1447</v>
      </c>
      <c r="B64" s="732" t="s">
        <v>1072</v>
      </c>
      <c r="C64" s="732" t="s">
        <v>1044</v>
      </c>
      <c r="D64" s="1280">
        <v>202019</v>
      </c>
      <c r="E64" s="735"/>
      <c r="F64" s="735"/>
      <c r="G64" s="735"/>
      <c r="H64" s="735"/>
      <c r="J64" s="733">
        <f>SUM(D64:I64)</f>
        <v>202019</v>
      </c>
      <c r="K64" s="734"/>
      <c r="L64" s="734"/>
      <c r="M64" s="734"/>
      <c r="Q64" s="734"/>
    </row>
    <row r="65" spans="1:21" x14ac:dyDescent="0.35">
      <c r="A65" s="140" t="s">
        <v>1448</v>
      </c>
      <c r="B65" s="732"/>
      <c r="C65" s="732"/>
      <c r="D65" s="734"/>
      <c r="E65" s="734"/>
      <c r="F65" s="734"/>
      <c r="G65" s="734"/>
      <c r="H65" s="734"/>
      <c r="J65" s="733"/>
      <c r="K65" s="734"/>
      <c r="L65" s="734"/>
      <c r="M65" s="734"/>
      <c r="N65" s="140"/>
      <c r="O65" s="140"/>
      <c r="P65" s="140"/>
      <c r="Q65" s="734"/>
    </row>
    <row r="66" spans="1:21" x14ac:dyDescent="0.35">
      <c r="A66" t="s">
        <v>1449</v>
      </c>
      <c r="B66" s="732" t="s">
        <v>1073</v>
      </c>
      <c r="C66" s="732" t="s">
        <v>1044</v>
      </c>
      <c r="D66" s="734"/>
      <c r="E66" s="735"/>
      <c r="F66" s="735"/>
      <c r="G66" s="735"/>
      <c r="H66" s="735"/>
      <c r="J66" s="733">
        <f>SUM(D66:I66)</f>
        <v>0</v>
      </c>
      <c r="K66" s="734"/>
      <c r="L66" s="734"/>
      <c r="M66" s="734"/>
    </row>
    <row r="67" spans="1:21" x14ac:dyDescent="0.35">
      <c r="A67" t="s">
        <v>1450</v>
      </c>
      <c r="B67" s="732" t="s">
        <v>1073</v>
      </c>
      <c r="C67" s="732" t="s">
        <v>1044</v>
      </c>
      <c r="D67" s="734"/>
      <c r="E67" s="734"/>
      <c r="F67" s="734"/>
      <c r="G67" s="734"/>
      <c r="H67" s="734"/>
      <c r="J67" s="733"/>
      <c r="K67" s="734"/>
      <c r="L67" s="734"/>
      <c r="M67" s="734"/>
    </row>
    <row r="68" spans="1:21" x14ac:dyDescent="0.35">
      <c r="A68" t="s">
        <v>1451</v>
      </c>
      <c r="B68" s="732" t="s">
        <v>1073</v>
      </c>
      <c r="C68" s="732" t="s">
        <v>1044</v>
      </c>
      <c r="D68" s="1280">
        <v>-3604266</v>
      </c>
      <c r="E68" s="735"/>
      <c r="F68" s="735"/>
      <c r="G68" s="735"/>
      <c r="H68" s="735"/>
      <c r="J68" s="733">
        <f>SUM(D68:I68)</f>
        <v>-3604266</v>
      </c>
      <c r="K68" s="735"/>
      <c r="L68" s="735"/>
      <c r="M68" s="735"/>
    </row>
    <row r="69" spans="1:21" x14ac:dyDescent="0.35">
      <c r="A69" s="140" t="s">
        <v>1452</v>
      </c>
      <c r="B69" s="732"/>
      <c r="C69" s="732"/>
      <c r="D69" s="732"/>
      <c r="E69" s="734"/>
      <c r="F69" s="734"/>
      <c r="G69" s="734"/>
      <c r="H69" s="734"/>
      <c r="I69" s="734"/>
      <c r="J69" s="733"/>
      <c r="K69" s="734"/>
      <c r="L69" s="734"/>
      <c r="M69" s="734"/>
      <c r="N69" s="140"/>
      <c r="O69" s="140"/>
      <c r="P69" s="140"/>
    </row>
    <row r="70" spans="1:21" x14ac:dyDescent="0.35">
      <c r="A70" t="s">
        <v>1449</v>
      </c>
      <c r="B70" s="732" t="s">
        <v>1074</v>
      </c>
      <c r="C70" s="732" t="s">
        <v>1044</v>
      </c>
      <c r="D70" s="732"/>
      <c r="E70" s="734"/>
      <c r="F70" s="734"/>
      <c r="G70" s="734"/>
      <c r="H70" s="734"/>
      <c r="I70" s="734"/>
      <c r="J70" s="733"/>
      <c r="K70" s="734"/>
      <c r="L70" s="734"/>
      <c r="M70" s="734"/>
      <c r="N70" s="140"/>
      <c r="O70" s="140"/>
      <c r="P70" s="140"/>
    </row>
    <row r="71" spans="1:21" x14ac:dyDescent="0.35">
      <c r="A71" t="s">
        <v>1453</v>
      </c>
      <c r="B71" s="732" t="s">
        <v>1074</v>
      </c>
      <c r="C71" s="732" t="s">
        <v>1044</v>
      </c>
      <c r="D71" s="734"/>
      <c r="E71" s="735"/>
      <c r="F71" s="735"/>
      <c r="G71" s="735"/>
      <c r="H71" s="735"/>
      <c r="I71" s="735"/>
      <c r="J71" s="733">
        <f>SUM(D71:I71)</f>
        <v>0</v>
      </c>
      <c r="K71" s="735"/>
      <c r="L71" s="735"/>
      <c r="M71" s="735"/>
    </row>
    <row r="72" spans="1:21" x14ac:dyDescent="0.35">
      <c r="A72" t="s">
        <v>1454</v>
      </c>
      <c r="B72" s="732" t="s">
        <v>1074</v>
      </c>
      <c r="C72" s="732" t="s">
        <v>1044</v>
      </c>
      <c r="D72" s="1280">
        <v>-486743</v>
      </c>
      <c r="E72" s="734"/>
      <c r="F72" s="734"/>
      <c r="G72" s="734"/>
      <c r="H72" s="734"/>
      <c r="I72" s="734"/>
      <c r="J72" s="733">
        <f>SUM(D72:I72)</f>
        <v>-486743</v>
      </c>
      <c r="K72" s="734"/>
      <c r="L72" s="734"/>
      <c r="M72" s="734"/>
    </row>
    <row r="73" spans="1:21" x14ac:dyDescent="0.35">
      <c r="A73" s="140" t="s">
        <v>1455</v>
      </c>
      <c r="B73" s="737"/>
      <c r="C73" s="732"/>
      <c r="D73" s="734"/>
      <c r="E73" s="734"/>
      <c r="F73" s="734"/>
      <c r="G73" s="734"/>
      <c r="H73" s="734"/>
      <c r="I73" s="734"/>
      <c r="J73" s="733"/>
      <c r="K73" s="734"/>
      <c r="L73" s="734"/>
      <c r="M73" s="734"/>
      <c r="N73" s="140"/>
      <c r="O73" s="140"/>
      <c r="P73" s="140"/>
    </row>
    <row r="74" spans="1:21" x14ac:dyDescent="0.35">
      <c r="A74" s="737"/>
      <c r="B74" s="737"/>
      <c r="C74" s="732"/>
      <c r="D74" s="734"/>
      <c r="E74" s="734"/>
      <c r="F74" s="734"/>
      <c r="G74" s="734"/>
      <c r="H74" s="734"/>
      <c r="I74" s="734"/>
      <c r="J74" s="734"/>
      <c r="K74" s="734"/>
      <c r="L74" s="734"/>
    </row>
    <row r="75" spans="1:21" x14ac:dyDescent="0.35">
      <c r="A75" s="1065"/>
      <c r="B75" s="1065"/>
      <c r="C75" s="1066"/>
      <c r="D75" s="1067"/>
      <c r="E75" s="1067"/>
      <c r="F75" s="1067"/>
      <c r="G75" s="1067"/>
      <c r="H75" s="1067"/>
      <c r="I75" s="1067"/>
      <c r="J75" s="1067"/>
      <c r="K75" s="1067"/>
      <c r="L75" s="1067"/>
      <c r="M75" s="883"/>
      <c r="N75" s="1067"/>
      <c r="O75" s="1067"/>
      <c r="P75" s="1067"/>
      <c r="Q75" s="883"/>
    </row>
    <row r="76" spans="1:21" x14ac:dyDescent="0.35">
      <c r="D76" s="738"/>
      <c r="E76" s="738"/>
      <c r="F76" s="738"/>
      <c r="G76" s="738"/>
      <c r="H76" s="738"/>
      <c r="I76" s="738"/>
      <c r="J76" s="738"/>
      <c r="L76" s="738"/>
      <c r="M76" s="934">
        <f>'Summary DPK-7 '!M25</f>
        <v>0</v>
      </c>
      <c r="N76" s="935" t="s">
        <v>1652</v>
      </c>
      <c r="O76" s="935"/>
      <c r="P76" s="935"/>
      <c r="Q76" s="933"/>
      <c r="R76" s="934">
        <f>SUM('Summary DPK-7 '!D15,'Summary DPK-7 '!F15,'Summary DPK-7 '!H15,'Summary DPK-7 '!J15,'Summary DPK-7 '!L15)-SUM(J80:J85)</f>
        <v>0</v>
      </c>
      <c r="S76" s="935" t="s">
        <v>1484</v>
      </c>
      <c r="T76" s="935"/>
      <c r="U76" s="933"/>
    </row>
    <row r="77" spans="1:21" ht="15" thickBot="1" x14ac:dyDescent="0.4">
      <c r="D77" s="1060">
        <f t="shared" ref="D77:J77" si="3">SUM(D60:D73)</f>
        <v>-19495214.742657073</v>
      </c>
      <c r="E77" s="1060">
        <f t="shared" si="3"/>
        <v>-716603346.3903172</v>
      </c>
      <c r="F77" s="1060">
        <f t="shared" si="3"/>
        <v>-23546452.091005601</v>
      </c>
      <c r="G77" s="1060">
        <f t="shared" si="3"/>
        <v>-3844168.62</v>
      </c>
      <c r="H77" s="1060">
        <f t="shared" si="3"/>
        <v>0</v>
      </c>
      <c r="I77" s="1060">
        <f t="shared" si="3"/>
        <v>1250547.3092991479</v>
      </c>
      <c r="J77" s="1060">
        <f t="shared" si="3"/>
        <v>-762238634.53468072</v>
      </c>
      <c r="K77" s="140"/>
      <c r="L77" s="1061">
        <f>SUM(L60:M73)</f>
        <v>-710474541.38</v>
      </c>
      <c r="M77" s="934">
        <f>'Summary DPK-7 '!D25-L77</f>
        <v>0</v>
      </c>
      <c r="N77" s="935" t="s">
        <v>1653</v>
      </c>
      <c r="O77" s="935"/>
      <c r="P77" s="935"/>
      <c r="Q77" s="933"/>
      <c r="R77" s="948"/>
      <c r="S77" s="952"/>
    </row>
    <row r="78" spans="1:21" ht="15" thickTop="1" x14ac:dyDescent="0.35">
      <c r="L78" s="939" t="s">
        <v>1076</v>
      </c>
      <c r="M78" s="940"/>
      <c r="N78" s="941"/>
      <c r="O78" s="941"/>
      <c r="P78" s="941"/>
      <c r="Q78" s="942"/>
    </row>
    <row r="79" spans="1:21" x14ac:dyDescent="0.35">
      <c r="L79" s="943" t="s">
        <v>1478</v>
      </c>
      <c r="M79" s="944" t="s">
        <v>1479</v>
      </c>
      <c r="N79" s="944" t="s">
        <v>1480</v>
      </c>
      <c r="O79" s="944" t="s">
        <v>1032</v>
      </c>
      <c r="P79" s="944" t="s">
        <v>1487</v>
      </c>
      <c r="Q79" s="944" t="s">
        <v>1142</v>
      </c>
    </row>
    <row r="80" spans="1:21" x14ac:dyDescent="0.35">
      <c r="B80" t="s">
        <v>1043</v>
      </c>
      <c r="C80" t="s">
        <v>1044</v>
      </c>
      <c r="D80" s="733">
        <f t="shared" ref="D80:I92" si="4">SUMIFS(D$5:D$73,$C$5:$C$73,$C80,$B$5:$B$73,$B80)</f>
        <v>42653066.143237561</v>
      </c>
      <c r="E80" s="733">
        <f t="shared" si="4"/>
        <v>-727661685.21031713</v>
      </c>
      <c r="F80" s="733">
        <f t="shared" si="4"/>
        <v>-90596.170162767172</v>
      </c>
      <c r="G80" s="733">
        <f t="shared" si="4"/>
        <v>0</v>
      </c>
      <c r="H80" s="733">
        <f t="shared" si="4"/>
        <v>0</v>
      </c>
      <c r="I80" s="733">
        <f t="shared" si="4"/>
        <v>0</v>
      </c>
      <c r="J80" s="733">
        <f t="shared" ref="J80:J92" si="5">SUM(D80:I80)</f>
        <v>-685099215.23724234</v>
      </c>
      <c r="K80" s="733"/>
      <c r="L80" s="930">
        <f>'Detailed Summary'!E16-D80</f>
        <v>0</v>
      </c>
      <c r="M80" s="945">
        <f>'Detailed Summary'!$F$16-E80</f>
        <v>0</v>
      </c>
      <c r="N80" s="945">
        <f>'Detailed Summary'!$G$16-F80</f>
        <v>0</v>
      </c>
      <c r="O80" s="931">
        <f t="shared" ref="O80:O87" si="6">IF(G80=0,0,"add formula")</f>
        <v>0</v>
      </c>
      <c r="P80" s="931">
        <f t="shared" ref="P80:P87" si="7">IF(H80=0,0,"add formula")</f>
        <v>0</v>
      </c>
      <c r="Q80" s="950">
        <f t="shared" ref="Q80:Q88" si="8">IF(I80=0,0,"add formula")</f>
        <v>0</v>
      </c>
    </row>
    <row r="81" spans="2:18" x14ac:dyDescent="0.35">
      <c r="B81" t="s">
        <v>1067</v>
      </c>
      <c r="C81" t="s">
        <v>1044</v>
      </c>
      <c r="D81" s="734">
        <f t="shared" si="4"/>
        <v>-57533887.225894623</v>
      </c>
      <c r="E81" s="734">
        <f t="shared" si="4"/>
        <v>0</v>
      </c>
      <c r="F81" s="734">
        <f t="shared" si="4"/>
        <v>-23455855.920842834</v>
      </c>
      <c r="G81" s="734">
        <f t="shared" si="4"/>
        <v>0</v>
      </c>
      <c r="H81" s="734">
        <f t="shared" si="4"/>
        <v>0</v>
      </c>
      <c r="I81" s="734">
        <f t="shared" si="4"/>
        <v>0</v>
      </c>
      <c r="J81" s="734">
        <f t="shared" si="5"/>
        <v>-80989743.146737456</v>
      </c>
      <c r="K81" s="734"/>
      <c r="L81" s="946">
        <f>'Detailed Summary'!E77-D81</f>
        <v>0</v>
      </c>
      <c r="M81" s="931">
        <f t="shared" ref="M81:N85" si="9">IF(E81=0,0,"add formula")</f>
        <v>0</v>
      </c>
      <c r="N81" s="931">
        <f>'Detailed Summary'!$G$77-F81</f>
        <v>0</v>
      </c>
      <c r="O81" s="931">
        <f t="shared" si="6"/>
        <v>0</v>
      </c>
      <c r="P81" s="931">
        <f t="shared" si="7"/>
        <v>0</v>
      </c>
      <c r="Q81" s="951">
        <f t="shared" si="8"/>
        <v>0</v>
      </c>
    </row>
    <row r="82" spans="2:18" x14ac:dyDescent="0.35">
      <c r="B82" t="s">
        <v>1072</v>
      </c>
      <c r="C82" t="s">
        <v>1044</v>
      </c>
      <c r="D82" s="734">
        <f t="shared" si="4"/>
        <v>202019</v>
      </c>
      <c r="E82" s="734">
        <f t="shared" si="4"/>
        <v>0</v>
      </c>
      <c r="F82" s="734">
        <f t="shared" si="4"/>
        <v>0</v>
      </c>
      <c r="G82" s="734">
        <f t="shared" si="4"/>
        <v>0</v>
      </c>
      <c r="H82" s="734">
        <f t="shared" si="4"/>
        <v>0</v>
      </c>
      <c r="I82" s="734">
        <f t="shared" si="4"/>
        <v>0</v>
      </c>
      <c r="J82" s="734">
        <f t="shared" si="5"/>
        <v>202019</v>
      </c>
      <c r="K82" s="734"/>
      <c r="L82" s="946">
        <f>'Detailed Summary'!E138-D82</f>
        <v>0</v>
      </c>
      <c r="M82" s="931">
        <f t="shared" si="9"/>
        <v>0</v>
      </c>
      <c r="N82" s="931">
        <f t="shared" si="9"/>
        <v>0</v>
      </c>
      <c r="O82" s="931">
        <f t="shared" si="6"/>
        <v>0</v>
      </c>
      <c r="P82" s="931">
        <f t="shared" si="7"/>
        <v>0</v>
      </c>
      <c r="Q82" s="951">
        <f t="shared" si="8"/>
        <v>0</v>
      </c>
    </row>
    <row r="83" spans="2:18" x14ac:dyDescent="0.35">
      <c r="B83" t="s">
        <v>1073</v>
      </c>
      <c r="C83" t="s">
        <v>1044</v>
      </c>
      <c r="D83" s="734">
        <f t="shared" si="4"/>
        <v>-3604266</v>
      </c>
      <c r="E83" s="734">
        <f t="shared" si="4"/>
        <v>0</v>
      </c>
      <c r="F83" s="734">
        <f t="shared" si="4"/>
        <v>0</v>
      </c>
      <c r="G83" s="734">
        <f t="shared" si="4"/>
        <v>0</v>
      </c>
      <c r="H83" s="734">
        <f t="shared" si="4"/>
        <v>0</v>
      </c>
      <c r="I83" s="734">
        <f t="shared" si="4"/>
        <v>0</v>
      </c>
      <c r="J83" s="734">
        <f t="shared" si="5"/>
        <v>-3604266</v>
      </c>
      <c r="K83" s="734"/>
      <c r="L83" s="946">
        <f>'Detailed Summary'!E199-D83</f>
        <v>0</v>
      </c>
      <c r="M83" s="931">
        <f t="shared" si="9"/>
        <v>0</v>
      </c>
      <c r="N83" s="931">
        <f t="shared" si="9"/>
        <v>0</v>
      </c>
      <c r="O83" s="931">
        <f t="shared" si="6"/>
        <v>0</v>
      </c>
      <c r="P83" s="931">
        <f t="shared" si="7"/>
        <v>0</v>
      </c>
      <c r="Q83" s="951">
        <f t="shared" si="8"/>
        <v>0</v>
      </c>
    </row>
    <row r="84" spans="2:18" x14ac:dyDescent="0.35">
      <c r="B84" t="s">
        <v>1074</v>
      </c>
      <c r="C84" t="s">
        <v>1044</v>
      </c>
      <c r="D84" s="734">
        <f t="shared" si="4"/>
        <v>-486743</v>
      </c>
      <c r="E84" s="734">
        <f t="shared" si="4"/>
        <v>0</v>
      </c>
      <c r="F84" s="734">
        <f t="shared" si="4"/>
        <v>0</v>
      </c>
      <c r="G84" s="734">
        <f t="shared" si="4"/>
        <v>0</v>
      </c>
      <c r="H84" s="734">
        <f t="shared" si="4"/>
        <v>0</v>
      </c>
      <c r="I84" s="734">
        <f t="shared" si="4"/>
        <v>0</v>
      </c>
      <c r="J84" s="734">
        <f t="shared" si="5"/>
        <v>-486743</v>
      </c>
      <c r="K84" s="734"/>
      <c r="L84" s="946">
        <f>'Detailed Summary'!E260-D84</f>
        <v>0</v>
      </c>
      <c r="M84" s="931">
        <f t="shared" si="9"/>
        <v>0</v>
      </c>
      <c r="N84" s="931">
        <f t="shared" si="9"/>
        <v>0</v>
      </c>
      <c r="O84" s="931">
        <f t="shared" si="6"/>
        <v>0</v>
      </c>
      <c r="P84" s="931">
        <f t="shared" si="7"/>
        <v>0</v>
      </c>
      <c r="Q84" s="951">
        <f t="shared" si="8"/>
        <v>0</v>
      </c>
    </row>
    <row r="85" spans="2:18" x14ac:dyDescent="0.35">
      <c r="B85" t="s">
        <v>1075</v>
      </c>
      <c r="C85" t="s">
        <v>1044</v>
      </c>
      <c r="D85" s="734">
        <f t="shared" si="4"/>
        <v>0</v>
      </c>
      <c r="E85" s="734">
        <f t="shared" si="4"/>
        <v>0</v>
      </c>
      <c r="F85" s="734">
        <f t="shared" si="4"/>
        <v>0</v>
      </c>
      <c r="G85" s="734">
        <f t="shared" si="4"/>
        <v>0</v>
      </c>
      <c r="H85" s="734">
        <f t="shared" si="4"/>
        <v>0</v>
      </c>
      <c r="I85" s="734">
        <f t="shared" si="4"/>
        <v>0</v>
      </c>
      <c r="J85" s="734">
        <f t="shared" si="5"/>
        <v>0</v>
      </c>
      <c r="K85" s="734"/>
      <c r="L85" s="946">
        <f>'Detailed Summary'!E321-D85</f>
        <v>0</v>
      </c>
      <c r="M85" s="931">
        <f t="shared" si="9"/>
        <v>0</v>
      </c>
      <c r="N85" s="931">
        <f t="shared" si="9"/>
        <v>0</v>
      </c>
      <c r="O85" s="931">
        <f t="shared" si="6"/>
        <v>0</v>
      </c>
      <c r="P85" s="931">
        <f t="shared" si="7"/>
        <v>0</v>
      </c>
      <c r="Q85" s="951">
        <f t="shared" si="8"/>
        <v>0</v>
      </c>
    </row>
    <row r="86" spans="2:18" x14ac:dyDescent="0.35">
      <c r="B86" t="s">
        <v>1043</v>
      </c>
      <c r="C86" t="s">
        <v>1046</v>
      </c>
      <c r="D86" s="1063">
        <f t="shared" si="4"/>
        <v>-374.35</v>
      </c>
      <c r="E86" s="1063">
        <f t="shared" si="4"/>
        <v>0</v>
      </c>
      <c r="F86" s="1063">
        <f t="shared" si="4"/>
        <v>0</v>
      </c>
      <c r="G86" s="1063">
        <f t="shared" si="4"/>
        <v>0</v>
      </c>
      <c r="H86" s="1063">
        <f t="shared" si="4"/>
        <v>0</v>
      </c>
      <c r="I86" s="1063">
        <f t="shared" si="4"/>
        <v>0</v>
      </c>
      <c r="J86" s="1063">
        <f t="shared" si="5"/>
        <v>-374.35</v>
      </c>
      <c r="K86" s="734"/>
      <c r="L86" s="946">
        <f>SUM('Common Adj'!$E$42:$E$47)-D86</f>
        <v>0</v>
      </c>
      <c r="M86" s="931">
        <f>SUM('Common Adj'!$W$30:$W$32)-E86</f>
        <v>0</v>
      </c>
      <c r="N86" s="931">
        <f>IF(F86=0,0,"add formula")</f>
        <v>0</v>
      </c>
      <c r="O86" s="931">
        <f t="shared" si="6"/>
        <v>0</v>
      </c>
      <c r="P86" s="931">
        <f t="shared" si="7"/>
        <v>0</v>
      </c>
      <c r="Q86" s="951">
        <f t="shared" si="8"/>
        <v>0</v>
      </c>
    </row>
    <row r="87" spans="2:18" x14ac:dyDescent="0.35">
      <c r="B87" t="s">
        <v>1067</v>
      </c>
      <c r="C87" t="s">
        <v>1046</v>
      </c>
      <c r="D87" s="1063">
        <f t="shared" si="4"/>
        <v>0</v>
      </c>
      <c r="E87" s="1063">
        <f t="shared" si="4"/>
        <v>0</v>
      </c>
      <c r="F87" s="1063">
        <f t="shared" si="4"/>
        <v>0</v>
      </c>
      <c r="G87" s="1063">
        <f t="shared" si="4"/>
        <v>0</v>
      </c>
      <c r="H87" s="1063">
        <f t="shared" si="4"/>
        <v>0</v>
      </c>
      <c r="I87" s="1063">
        <f t="shared" si="4"/>
        <v>0</v>
      </c>
      <c r="J87" s="1063">
        <f t="shared" si="5"/>
        <v>0</v>
      </c>
      <c r="K87" s="734"/>
      <c r="L87" s="946">
        <f>'Common Adj'!G47-D87</f>
        <v>0</v>
      </c>
      <c r="M87" s="931">
        <f>IF(E87=0,0,"add formula")</f>
        <v>0</v>
      </c>
      <c r="N87" s="931">
        <f>IF(F87=0,0,"add formula")</f>
        <v>0</v>
      </c>
      <c r="O87" s="931">
        <f t="shared" si="6"/>
        <v>0</v>
      </c>
      <c r="P87" s="931">
        <f t="shared" si="7"/>
        <v>0</v>
      </c>
      <c r="Q87" s="951">
        <f t="shared" si="8"/>
        <v>0</v>
      </c>
    </row>
    <row r="88" spans="2:18" x14ac:dyDescent="0.35">
      <c r="B88" t="s">
        <v>1043</v>
      </c>
      <c r="C88" t="s">
        <v>1053</v>
      </c>
      <c r="D88" s="1063">
        <f t="shared" si="4"/>
        <v>111906.36000000034</v>
      </c>
      <c r="E88" s="1063">
        <f t="shared" si="4"/>
        <v>11058338.82</v>
      </c>
      <c r="F88" s="1063">
        <f t="shared" si="4"/>
        <v>0</v>
      </c>
      <c r="G88" s="1063">
        <f t="shared" si="4"/>
        <v>-3844168.62</v>
      </c>
      <c r="H88" s="1063">
        <f t="shared" si="4"/>
        <v>0</v>
      </c>
      <c r="I88" s="1063">
        <f t="shared" si="4"/>
        <v>0</v>
      </c>
      <c r="J88" s="1063">
        <f t="shared" si="5"/>
        <v>7326076.5599999996</v>
      </c>
      <c r="K88" s="734"/>
      <c r="L88" s="946">
        <f>SUM('Common Adj'!E41,'Common Adj'!E48:E53)-D88</f>
        <v>0</v>
      </c>
      <c r="M88" s="931">
        <f>'Common Adj'!W69-E88-E86</f>
        <v>0</v>
      </c>
      <c r="N88" s="931">
        <f>IF(F88=0,0,"add formula")</f>
        <v>0</v>
      </c>
      <c r="O88" s="931">
        <f>'Detailed Summary'!AB19-G88</f>
        <v>0</v>
      </c>
      <c r="P88" s="931">
        <f>+'Detailed Summary'!AK19-H88</f>
        <v>0</v>
      </c>
      <c r="Q88" s="951">
        <f t="shared" si="8"/>
        <v>0</v>
      </c>
      <c r="R88" s="949"/>
    </row>
    <row r="89" spans="2:18" x14ac:dyDescent="0.35">
      <c r="B89" t="s">
        <v>1067</v>
      </c>
      <c r="C89" t="s">
        <v>1053</v>
      </c>
      <c r="D89" s="1063">
        <f t="shared" si="4"/>
        <v>-836935.66999999993</v>
      </c>
      <c r="E89" s="1063">
        <f t="shared" si="4"/>
        <v>0</v>
      </c>
      <c r="F89" s="1063">
        <f t="shared" si="4"/>
        <v>0</v>
      </c>
      <c r="G89" s="1063">
        <f t="shared" si="4"/>
        <v>0</v>
      </c>
      <c r="H89" s="1063">
        <f t="shared" si="4"/>
        <v>0</v>
      </c>
      <c r="I89" s="1063">
        <f t="shared" si="4"/>
        <v>-1336792.368297589</v>
      </c>
      <c r="J89" s="1063">
        <f t="shared" si="5"/>
        <v>-2173728.0382975889</v>
      </c>
      <c r="K89" s="734"/>
      <c r="L89" s="946">
        <f>SUM('Common Adj'!G48:G53)-D89</f>
        <v>0</v>
      </c>
      <c r="M89" s="931">
        <f>IF(E89=0,0,"add formula")</f>
        <v>0</v>
      </c>
      <c r="N89" s="931">
        <f>IF(F89=0,0,"add formula")</f>
        <v>0</v>
      </c>
      <c r="O89" s="931">
        <f t="shared" ref="O89" si="10">IF(G89=0,0,"add formula")</f>
        <v>0</v>
      </c>
      <c r="P89" s="931">
        <f t="shared" ref="P89" si="11">IF(H89=0,0,"add formula")</f>
        <v>0</v>
      </c>
      <c r="Q89" s="951">
        <f>'Detailed Summary'!AQ80-I89</f>
        <v>0</v>
      </c>
    </row>
    <row r="90" spans="2:18" x14ac:dyDescent="0.35">
      <c r="B90" t="s">
        <v>1072</v>
      </c>
      <c r="C90" t="s">
        <v>1053</v>
      </c>
      <c r="D90" s="1063">
        <f t="shared" si="4"/>
        <v>0</v>
      </c>
      <c r="E90" s="1063">
        <f t="shared" si="4"/>
        <v>0</v>
      </c>
      <c r="F90" s="1063">
        <f t="shared" si="4"/>
        <v>0</v>
      </c>
      <c r="G90" s="1063">
        <f t="shared" si="4"/>
        <v>0</v>
      </c>
      <c r="H90" s="1063">
        <f t="shared" si="4"/>
        <v>0</v>
      </c>
      <c r="I90" s="1063">
        <f t="shared" si="4"/>
        <v>-43122.744148794794</v>
      </c>
      <c r="J90" s="1063">
        <f t="shared" si="5"/>
        <v>-43122.744148794794</v>
      </c>
      <c r="K90" s="734"/>
      <c r="L90" s="946">
        <f>IF(D90=0,0,"add formula")</f>
        <v>0</v>
      </c>
      <c r="M90" s="931">
        <f t="shared" ref="M90" si="12">IF(E90=0,0,"add formula")</f>
        <v>0</v>
      </c>
      <c r="N90" s="931">
        <f t="shared" ref="N90" si="13">IF(F90=0,0,"add formula")</f>
        <v>0</v>
      </c>
      <c r="O90" s="931">
        <f t="shared" ref="O90" si="14">IF(G90=0,0,"add formula")</f>
        <v>0</v>
      </c>
      <c r="P90" s="931">
        <f t="shared" ref="P90" si="15">IF(H90=0,0,"add formula")</f>
        <v>0</v>
      </c>
      <c r="Q90" s="951">
        <f>'Detailed Summary'!AQ141-I90</f>
        <v>0</v>
      </c>
    </row>
    <row r="91" spans="2:18" x14ac:dyDescent="0.35">
      <c r="B91" t="s">
        <v>1073</v>
      </c>
      <c r="C91" t="s">
        <v>1053</v>
      </c>
      <c r="D91" s="1063">
        <f t="shared" si="4"/>
        <v>0</v>
      </c>
      <c r="E91" s="1063">
        <f t="shared" si="4"/>
        <v>0</v>
      </c>
      <c r="F91" s="1063">
        <f t="shared" si="4"/>
        <v>0</v>
      </c>
      <c r="G91" s="1063">
        <f t="shared" si="4"/>
        <v>0</v>
      </c>
      <c r="H91" s="1063">
        <f t="shared" si="4"/>
        <v>0</v>
      </c>
      <c r="I91" s="1063">
        <f t="shared" si="4"/>
        <v>0</v>
      </c>
      <c r="J91" s="1063">
        <f t="shared" si="5"/>
        <v>0</v>
      </c>
      <c r="K91" s="734"/>
      <c r="L91" s="946">
        <f>IF(D91=0,0,"add formula")</f>
        <v>0</v>
      </c>
      <c r="M91" s="931">
        <f>IF(E91=0,0,"add formula")</f>
        <v>0</v>
      </c>
      <c r="N91" s="931">
        <f t="shared" ref="N91:N92" si="16">IF(F91=0,0,"add formula")</f>
        <v>0</v>
      </c>
      <c r="O91" s="931">
        <f t="shared" ref="O91:O92" si="17">IF(G91=0,0,"add formula")</f>
        <v>0</v>
      </c>
      <c r="P91" s="931">
        <f t="shared" ref="P91:P92" si="18">IF(H91=0,0,"add formula")</f>
        <v>0</v>
      </c>
      <c r="Q91" s="951">
        <f>'Detailed Summary'!AQ202-I91</f>
        <v>0</v>
      </c>
    </row>
    <row r="92" spans="2:18" x14ac:dyDescent="0.35">
      <c r="B92" t="s">
        <v>1074</v>
      </c>
      <c r="C92" t="s">
        <v>1053</v>
      </c>
      <c r="D92" s="1063">
        <f t="shared" si="4"/>
        <v>0</v>
      </c>
      <c r="E92" s="1063">
        <f t="shared" si="4"/>
        <v>0</v>
      </c>
      <c r="F92" s="1063">
        <f t="shared" si="4"/>
        <v>0</v>
      </c>
      <c r="G92" s="1063">
        <f t="shared" si="4"/>
        <v>0</v>
      </c>
      <c r="H92" s="1063">
        <f t="shared" si="4"/>
        <v>0</v>
      </c>
      <c r="I92" s="1063">
        <f t="shared" si="4"/>
        <v>2630462.4217455317</v>
      </c>
      <c r="J92" s="1063">
        <f t="shared" si="5"/>
        <v>2630462.4217455317</v>
      </c>
      <c r="K92" s="734"/>
      <c r="L92" s="947">
        <f>IF(D92=0,0,"add formula")</f>
        <v>0</v>
      </c>
      <c r="M92" s="932">
        <f t="shared" ref="M92" si="19">IF(E92=0,0,"add formula")</f>
        <v>0</v>
      </c>
      <c r="N92" s="932">
        <f t="shared" si="16"/>
        <v>0</v>
      </c>
      <c r="O92" s="932">
        <f t="shared" si="17"/>
        <v>0</v>
      </c>
      <c r="P92" s="932">
        <f t="shared" si="18"/>
        <v>0</v>
      </c>
      <c r="Q92" s="1064">
        <f>'Detailed Summary'!AQ263-I92</f>
        <v>0</v>
      </c>
    </row>
    <row r="93" spans="2:18" x14ac:dyDescent="0.35">
      <c r="D93" s="738"/>
      <c r="E93" s="738"/>
      <c r="F93" s="738"/>
      <c r="G93" s="738"/>
      <c r="H93" s="738"/>
      <c r="I93" s="738"/>
      <c r="J93" s="738"/>
    </row>
    <row r="94" spans="2:18" ht="15" thickBot="1" x14ac:dyDescent="0.4">
      <c r="B94" t="s">
        <v>1077</v>
      </c>
      <c r="D94" s="1060">
        <f t="shared" ref="D94:J94" si="20">SUM(D80:D93)</f>
        <v>-19495214.742657065</v>
      </c>
      <c r="E94" s="1060">
        <f t="shared" si="20"/>
        <v>-716603346.39031708</v>
      </c>
      <c r="F94" s="1060">
        <f t="shared" si="20"/>
        <v>-23546452.091005601</v>
      </c>
      <c r="G94" s="1060">
        <f t="shared" si="20"/>
        <v>-3844168.62</v>
      </c>
      <c r="H94" s="1060">
        <f t="shared" si="20"/>
        <v>0</v>
      </c>
      <c r="I94" s="1060">
        <f t="shared" si="20"/>
        <v>1250547.3092991479</v>
      </c>
      <c r="J94" s="1060">
        <f t="shared" si="20"/>
        <v>-762238634.53468072</v>
      </c>
      <c r="L94" s="934">
        <f>J77-J94</f>
        <v>0</v>
      </c>
      <c r="M94" s="936" t="s">
        <v>1476</v>
      </c>
      <c r="N94" s="937"/>
      <c r="O94" s="937"/>
      <c r="P94" s="937"/>
      <c r="Q94" s="933"/>
    </row>
    <row r="95" spans="2:18" ht="15" thickTop="1" x14ac:dyDescent="0.35">
      <c r="D95" s="242"/>
      <c r="E95" s="739"/>
      <c r="F95" s="929"/>
      <c r="G95" s="929"/>
      <c r="H95" s="929"/>
      <c r="I95" s="740" t="s">
        <v>1655</v>
      </c>
      <c r="J95" s="951">
        <v>0</v>
      </c>
    </row>
    <row r="96" spans="2:18" x14ac:dyDescent="0.35">
      <c r="D96" s="242"/>
      <c r="E96" s="742"/>
      <c r="F96" s="928"/>
      <c r="G96" s="928"/>
      <c r="H96" s="928"/>
      <c r="I96" s="743" t="s">
        <v>1654</v>
      </c>
      <c r="J96" s="1064">
        <v>0</v>
      </c>
    </row>
    <row r="97" spans="1:17" x14ac:dyDescent="0.35">
      <c r="D97" s="242"/>
      <c r="E97" s="938"/>
      <c r="F97" s="938"/>
      <c r="G97" s="938"/>
      <c r="H97" s="938"/>
      <c r="I97" s="1106"/>
      <c r="J97" s="945"/>
    </row>
    <row r="98" spans="1:17" x14ac:dyDescent="0.35">
      <c r="I98" s="1062"/>
      <c r="J98" s="1107"/>
    </row>
    <row r="99" spans="1:17" x14ac:dyDescent="0.35">
      <c r="B99" s="618"/>
      <c r="C99" s="618"/>
      <c r="I99" s="741"/>
      <c r="J99" s="931"/>
    </row>
    <row r="100" spans="1:17" x14ac:dyDescent="0.35">
      <c r="B100" s="618"/>
      <c r="C100" s="618"/>
      <c r="L100" s="242"/>
    </row>
    <row r="101" spans="1:17" x14ac:dyDescent="0.35">
      <c r="A101" t="s">
        <v>1649</v>
      </c>
      <c r="J101" s="116"/>
      <c r="L101" s="242"/>
      <c r="Q101" s="949"/>
    </row>
    <row r="102" spans="1:17" x14ac:dyDescent="0.35">
      <c r="A102" t="s">
        <v>1650</v>
      </c>
      <c r="J102" s="116"/>
    </row>
    <row r="103" spans="1:17" x14ac:dyDescent="0.35">
      <c r="A103" t="s">
        <v>1651</v>
      </c>
      <c r="B103" s="618"/>
      <c r="C103" s="618"/>
      <c r="L103" s="242"/>
    </row>
    <row r="104" spans="1:17" x14ac:dyDescent="0.35">
      <c r="B104" s="618"/>
      <c r="C104" s="618"/>
      <c r="L104" s="116"/>
    </row>
    <row r="105" spans="1:17" x14ac:dyDescent="0.35">
      <c r="B105" s="618"/>
      <c r="C105" s="618"/>
      <c r="L105" s="116"/>
    </row>
    <row r="106" spans="1:17" x14ac:dyDescent="0.35">
      <c r="B106" s="618"/>
      <c r="C106" s="618"/>
      <c r="L106" s="116"/>
    </row>
    <row r="107" spans="1:17" x14ac:dyDescent="0.35">
      <c r="C107" s="352" t="s">
        <v>1759</v>
      </c>
      <c r="D107" s="809" t="s">
        <v>1758</v>
      </c>
      <c r="E107" s="809" t="s">
        <v>1760</v>
      </c>
      <c r="L107" s="116"/>
    </row>
    <row r="108" spans="1:17" x14ac:dyDescent="0.35">
      <c r="C108" s="352" t="s">
        <v>1221</v>
      </c>
      <c r="D108" s="809" t="s">
        <v>1220</v>
      </c>
      <c r="E108" s="1098">
        <v>1502765.34</v>
      </c>
      <c r="F108" t="s">
        <v>1761</v>
      </c>
      <c r="L108" s="116"/>
    </row>
  </sheetData>
  <autoFilter ref="A3:L75" xr:uid="{00000000-0009-0000-0000-00000F000000}"/>
  <conditionalFormatting sqref="J95:J96">
    <cfRule type="cellIs" dxfId="20" priority="2" operator="notEqual">
      <formula>0</formula>
    </cfRule>
  </conditionalFormatting>
  <conditionalFormatting sqref="L94">
    <cfRule type="cellIs" dxfId="19" priority="1" operator="notEqual">
      <formula>0</formula>
    </cfRule>
  </conditionalFormatting>
  <conditionalFormatting sqref="L80:Q92">
    <cfRule type="cellIs" dxfId="18" priority="5" operator="notEqual">
      <formula>0</formula>
    </cfRule>
  </conditionalFormatting>
  <conditionalFormatting sqref="M77">
    <cfRule type="cellIs" dxfId="17" priority="4" operator="notEqual">
      <formula>0</formula>
    </cfRule>
  </conditionalFormatting>
  <conditionalFormatting sqref="R76">
    <cfRule type="cellIs" dxfId="16" priority="3" operator="notEqual">
      <formula>0</formula>
    </cfRule>
  </conditionalFormatting>
  <pageMargins left="0.7" right="0.7" top="0.75" bottom="0.75" header="0.3" footer="0.3"/>
  <pageSetup orientation="portrait" horizontalDpi="1200" verticalDpi="1200"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4:M92"/>
  <sheetViews>
    <sheetView topLeftCell="A4" workbookViewId="0">
      <selection activeCell="B9" sqref="B9"/>
    </sheetView>
  </sheetViews>
  <sheetFormatPr defaultRowHeight="14.5" x14ac:dyDescent="0.35"/>
  <cols>
    <col min="1" max="1" width="30.7265625" bestFit="1" customWidth="1"/>
    <col min="2" max="2" width="15.26953125" bestFit="1" customWidth="1"/>
    <col min="3" max="3" width="16.54296875" bestFit="1" customWidth="1"/>
    <col min="4" max="6" width="15.26953125" bestFit="1" customWidth="1"/>
    <col min="7" max="7" width="18" bestFit="1" customWidth="1"/>
    <col min="8" max="8" width="35.453125" bestFit="1" customWidth="1"/>
  </cols>
  <sheetData>
    <row r="4" spans="1:7" x14ac:dyDescent="0.35">
      <c r="A4" s="259" t="s">
        <v>1600</v>
      </c>
      <c r="B4" s="259"/>
      <c r="C4" s="258"/>
      <c r="D4" s="258"/>
      <c r="E4" s="258"/>
      <c r="F4" s="258"/>
      <c r="G4" s="258"/>
    </row>
    <row r="5" spans="1:7" x14ac:dyDescent="0.35">
      <c r="A5" s="140"/>
    </row>
    <row r="6" spans="1:7" x14ac:dyDescent="0.35">
      <c r="A6" s="123" t="s">
        <v>356</v>
      </c>
      <c r="B6" s="123" t="s">
        <v>363</v>
      </c>
      <c r="C6" s="123" t="s">
        <v>1118</v>
      </c>
      <c r="D6" s="123" t="s">
        <v>925</v>
      </c>
      <c r="E6" s="123" t="s">
        <v>920</v>
      </c>
      <c r="F6" s="123" t="s">
        <v>921</v>
      </c>
      <c r="G6" s="123"/>
    </row>
    <row r="8" spans="1:7" x14ac:dyDescent="0.35">
      <c r="A8" t="s">
        <v>188</v>
      </c>
      <c r="B8" s="116">
        <f>'Summary DPK-7 '!E58</f>
        <v>2910473035.7707138</v>
      </c>
      <c r="C8" s="116">
        <f>'Summary DPK-7 '!G58</f>
        <v>2802449377.1695061</v>
      </c>
      <c r="D8" s="116">
        <f>'Summary DPK-7 '!I58</f>
        <v>2900790224.7215991</v>
      </c>
      <c r="E8" s="116">
        <f>'Summary DPK-7 '!K58</f>
        <v>2866503992.9496732</v>
      </c>
      <c r="F8" s="116">
        <f>'Summary DPK-7 '!M58</f>
        <v>2863128296.2018123</v>
      </c>
      <c r="G8" s="116"/>
    </row>
    <row r="9" spans="1:7" x14ac:dyDescent="0.35">
      <c r="A9" t="s">
        <v>351</v>
      </c>
      <c r="B9" s="244">
        <f>'Def, COC, ConvF DPK-7 '!K13</f>
        <v>2.6299999999999997E-2</v>
      </c>
      <c r="C9" s="244">
        <f>B9</f>
        <v>2.6299999999999997E-2</v>
      </c>
      <c r="D9" s="244">
        <f>C9</f>
        <v>2.6299999999999997E-2</v>
      </c>
      <c r="E9" s="244">
        <f>'Def, COC, ConvF DPK-7 '!K24</f>
        <v>2.75E-2</v>
      </c>
      <c r="F9" s="244">
        <f>'Def, COC, ConvF DPK-7 '!K36</f>
        <v>2.7699999999999999E-2</v>
      </c>
      <c r="G9" s="244"/>
    </row>
    <row r="10" spans="1:7" x14ac:dyDescent="0.35">
      <c r="A10" t="s">
        <v>352</v>
      </c>
      <c r="B10" s="253">
        <f>B8*B9</f>
        <v>76545440.840769768</v>
      </c>
      <c r="C10" s="253">
        <f>C8*C9</f>
        <v>73704418.619558007</v>
      </c>
      <c r="D10" s="253">
        <f>D8*D9</f>
        <v>76290782.91017805</v>
      </c>
      <c r="E10" s="253">
        <f>E8*E9</f>
        <v>78828859.806116015</v>
      </c>
      <c r="F10" s="253">
        <f>F8*F9</f>
        <v>79308653.804790199</v>
      </c>
      <c r="G10" s="253"/>
    </row>
    <row r="11" spans="1:7" x14ac:dyDescent="0.35">
      <c r="A11" t="s">
        <v>353</v>
      </c>
      <c r="B11" s="220">
        <f>FIT</f>
        <v>0.21</v>
      </c>
      <c r="C11" s="220">
        <f>FIT</f>
        <v>0.21</v>
      </c>
      <c r="D11" s="220">
        <f>FIT</f>
        <v>0.21</v>
      </c>
      <c r="E11" s="220">
        <f>FIT</f>
        <v>0.21</v>
      </c>
      <c r="F11" s="220">
        <f>FIT</f>
        <v>0.21</v>
      </c>
      <c r="G11" s="220"/>
    </row>
    <row r="12" spans="1:7" ht="15" thickBot="1" x14ac:dyDescent="0.4">
      <c r="A12" t="s">
        <v>354</v>
      </c>
      <c r="B12" s="254">
        <f>-B10*B11</f>
        <v>-16074542.57656165</v>
      </c>
      <c r="C12" s="254">
        <f>-C10*C11</f>
        <v>-15477927.91010718</v>
      </c>
      <c r="D12" s="254">
        <f>-D10*D11</f>
        <v>-16021064.411137391</v>
      </c>
      <c r="E12" s="254">
        <f>-E10*E11</f>
        <v>-16554060.559284363</v>
      </c>
      <c r="F12" s="254">
        <f>-F10*F11</f>
        <v>-16654817.299005941</v>
      </c>
      <c r="G12" s="254"/>
    </row>
    <row r="13" spans="1:7" ht="15" thickTop="1" x14ac:dyDescent="0.35"/>
    <row r="14" spans="1:7" ht="15" thickBot="1" x14ac:dyDescent="0.4">
      <c r="A14" t="s">
        <v>355</v>
      </c>
      <c r="B14" s="255">
        <f>'Detailed Summary'!I43</f>
        <v>-16074542.57656165</v>
      </c>
      <c r="C14" s="255">
        <f>'Detailed Summary'!I104+'Detailed Summary'!I43</f>
        <v>-15477927.910107184</v>
      </c>
      <c r="D14" s="255">
        <f>'Detailed Summary'!I165+'Detailed Summary'!I104+'Detailed Summary'!I43</f>
        <v>-16021064.411137395</v>
      </c>
      <c r="E14" s="255">
        <f>'Detailed Summary'!I226+'Detailed Summary'!I165+'Detailed Summary'!I104+'Detailed Summary'!I43</f>
        <v>-16554060.55928437</v>
      </c>
      <c r="F14" s="255">
        <f>'Detailed Summary'!I287+'Detailed Summary'!I226+'Detailed Summary'!I165+'Detailed Summary'!I104+'Detailed Summary'!I43</f>
        <v>-16654817.299005952</v>
      </c>
      <c r="G14" s="255"/>
    </row>
    <row r="15" spans="1:7" ht="15" thickTop="1" x14ac:dyDescent="0.35"/>
    <row r="16" spans="1:7" x14ac:dyDescent="0.35">
      <c r="A16" t="s">
        <v>357</v>
      </c>
      <c r="B16" s="116">
        <f t="shared" ref="B16:G16" si="0">ROUND(B12-B14,0)</f>
        <v>0</v>
      </c>
      <c r="C16" s="116">
        <f t="shared" si="0"/>
        <v>0</v>
      </c>
      <c r="D16" s="116">
        <f t="shared" si="0"/>
        <v>0</v>
      </c>
      <c r="E16" s="116">
        <f t="shared" si="0"/>
        <v>0</v>
      </c>
      <c r="F16" s="116">
        <f t="shared" si="0"/>
        <v>0</v>
      </c>
      <c r="G16" s="116">
        <f t="shared" si="0"/>
        <v>0</v>
      </c>
    </row>
    <row r="19" spans="1:7" x14ac:dyDescent="0.35">
      <c r="E19" s="236"/>
    </row>
    <row r="20" spans="1:7" x14ac:dyDescent="0.35">
      <c r="A20" s="259" t="s">
        <v>1601</v>
      </c>
      <c r="B20" s="259"/>
      <c r="C20" s="258"/>
      <c r="D20" s="258"/>
      <c r="E20" s="260"/>
      <c r="F20" s="258"/>
      <c r="G20" s="258"/>
    </row>
    <row r="21" spans="1:7" x14ac:dyDescent="0.35">
      <c r="A21" s="140"/>
      <c r="E21" s="309" t="s">
        <v>844</v>
      </c>
      <c r="F21" s="310"/>
      <c r="G21" s="310"/>
    </row>
    <row r="22" spans="1:7" x14ac:dyDescent="0.35">
      <c r="A22" s="123" t="s">
        <v>356</v>
      </c>
      <c r="B22" s="123" t="str">
        <f>+B6</f>
        <v>Restated TY</v>
      </c>
      <c r="C22" s="123" t="str">
        <f t="shared" ref="C22:F22" si="1">+C6</f>
        <v>Pro Forma 2023</v>
      </c>
      <c r="D22" s="123" t="str">
        <f t="shared" si="1"/>
        <v>Gap 2024</v>
      </c>
      <c r="E22" s="123" t="str">
        <f t="shared" si="1"/>
        <v>RY1 2025</v>
      </c>
      <c r="F22" s="123" t="str">
        <f t="shared" si="1"/>
        <v>RY2 2026</v>
      </c>
      <c r="G22" s="123"/>
    </row>
    <row r="23" spans="1:7" x14ac:dyDescent="0.35">
      <c r="A23" s="124"/>
      <c r="B23" s="124"/>
      <c r="C23" s="124"/>
      <c r="D23" s="124"/>
      <c r="E23" s="124"/>
      <c r="F23" s="124"/>
      <c r="G23" s="124"/>
    </row>
    <row r="24" spans="1:7" x14ac:dyDescent="0.35">
      <c r="A24" t="s">
        <v>131</v>
      </c>
      <c r="B24" s="116">
        <f>'Summary DPK-7 '!E47</f>
        <v>213546110.51518196</v>
      </c>
      <c r="C24" s="116">
        <f>'Summary DPK-7 '!G47</f>
        <v>134725962.22028792</v>
      </c>
      <c r="D24" s="116">
        <f>'Summary DPK-7 '!I47</f>
        <v>126837249.57794708</v>
      </c>
      <c r="E24" s="307">
        <f>+'Final Rate Years'!E47</f>
        <v>210903031.28127217</v>
      </c>
      <c r="F24" s="307">
        <f>+'Final Rate Years'!H47</f>
        <v>211012555.4300735</v>
      </c>
      <c r="G24" s="307"/>
    </row>
    <row r="25" spans="1:7" x14ac:dyDescent="0.35">
      <c r="A25" t="s">
        <v>359</v>
      </c>
      <c r="B25" s="236">
        <f>'Summary DPK-7 '!E42+'Summary DPK-7 '!E43</f>
        <v>28704299.665106922</v>
      </c>
      <c r="C25" s="236">
        <f>'Summary DPK-7 '!G42+'Summary DPK-7 '!G43</f>
        <v>8338829.7573451875</v>
      </c>
      <c r="D25" s="236">
        <f>'Summary DPK-7 '!I42+'Summary DPK-7 '!I43</f>
        <v>5995853.2968026306</v>
      </c>
      <c r="E25" s="308">
        <f>+'Final Rate Years'!E43+'Final Rate Years'!E42</f>
        <v>23648411.342634179</v>
      </c>
      <c r="F25" s="308">
        <f>+'Final Rate Years'!H43+'Final Rate Years'!H42</f>
        <v>24340351.829883225</v>
      </c>
      <c r="G25" s="308"/>
    </row>
    <row r="26" spans="1:7" x14ac:dyDescent="0.35">
      <c r="A26" t="s">
        <v>360</v>
      </c>
      <c r="B26" s="257">
        <f>SUM(B24:B25)</f>
        <v>242250410.18028888</v>
      </c>
      <c r="C26" s="257">
        <f>SUM(C24:C25)</f>
        <v>143064791.97763312</v>
      </c>
      <c r="D26" s="257">
        <f>SUM(D24:D25)</f>
        <v>132833102.87474971</v>
      </c>
      <c r="E26" s="257">
        <f>SUM(E24:E25)</f>
        <v>234551442.62390634</v>
      </c>
      <c r="F26" s="257">
        <f>SUM(F24:F25)</f>
        <v>235352907.25995672</v>
      </c>
      <c r="G26" s="257"/>
    </row>
    <row r="27" spans="1:7" x14ac:dyDescent="0.35">
      <c r="A27" t="s">
        <v>352</v>
      </c>
      <c r="B27" s="236">
        <f>-B10</f>
        <v>-76545440.840769768</v>
      </c>
      <c r="C27" s="236">
        <f>-C10</f>
        <v>-73704418.619558007</v>
      </c>
      <c r="D27" s="236">
        <f>-D10</f>
        <v>-76290782.91017805</v>
      </c>
      <c r="E27" s="236">
        <f>-E10</f>
        <v>-78828859.806116015</v>
      </c>
      <c r="F27" s="236">
        <f>-F10</f>
        <v>-79308653.804790199</v>
      </c>
      <c r="G27" s="236"/>
    </row>
    <row r="28" spans="1:7" x14ac:dyDescent="0.35">
      <c r="A28" t="s">
        <v>361</v>
      </c>
      <c r="B28" s="257">
        <f>SUM(B26:B27)</f>
        <v>165704969.33951911</v>
      </c>
      <c r="C28" s="257">
        <f>SUM(C26:C27)</f>
        <v>69360373.358075112</v>
      </c>
      <c r="D28" s="257">
        <f>SUM(D26:D27)</f>
        <v>56542319.964571655</v>
      </c>
      <c r="E28" s="257">
        <f>SUM(E26:E27)</f>
        <v>155722582.81779033</v>
      </c>
      <c r="F28" s="257">
        <f>SUM(F26:F27)</f>
        <v>156044253.45516652</v>
      </c>
      <c r="G28" s="257"/>
    </row>
    <row r="29" spans="1:7" x14ac:dyDescent="0.35">
      <c r="A29" t="s">
        <v>362</v>
      </c>
      <c r="B29" s="236">
        <f>B25</f>
        <v>28704299.665106922</v>
      </c>
      <c r="C29" s="236">
        <f>C25</f>
        <v>8338829.7573451875</v>
      </c>
      <c r="D29" s="236">
        <f>D25</f>
        <v>5995853.2968026306</v>
      </c>
      <c r="E29" s="236">
        <f>E25</f>
        <v>23648411.342634179</v>
      </c>
      <c r="F29" s="236">
        <f>F25</f>
        <v>24340351.829883225</v>
      </c>
      <c r="G29" s="236"/>
    </row>
    <row r="30" spans="1:7" x14ac:dyDescent="0.35">
      <c r="A30" t="s">
        <v>358</v>
      </c>
      <c r="B30" s="244">
        <f>B29/B28</f>
        <v>0.17322534006987811</v>
      </c>
      <c r="C30" s="244">
        <f>C29/C28</f>
        <v>0.12022469536453785</v>
      </c>
      <c r="D30" s="244">
        <f>D29/D28</f>
        <v>0.10604186917974923</v>
      </c>
      <c r="E30" s="244">
        <f>E29/E28</f>
        <v>0.15186243969704113</v>
      </c>
      <c r="F30" s="244">
        <f>F29/F28</f>
        <v>0.15598364752904223</v>
      </c>
      <c r="G30" s="244"/>
    </row>
    <row r="34" spans="1:13" x14ac:dyDescent="0.35">
      <c r="A34" s="259" t="s">
        <v>1602</v>
      </c>
      <c r="B34" s="259"/>
      <c r="C34" s="258"/>
      <c r="D34" s="258"/>
      <c r="E34" s="260"/>
      <c r="F34" s="258"/>
      <c r="G34" s="258"/>
    </row>
    <row r="36" spans="1:13" x14ac:dyDescent="0.35">
      <c r="A36" s="123" t="s">
        <v>356</v>
      </c>
      <c r="B36" s="123" t="str">
        <f>+B22</f>
        <v>Restated TY</v>
      </c>
      <c r="C36" s="123" t="str">
        <f t="shared" ref="C36:F36" si="2">+C22</f>
        <v>Pro Forma 2023</v>
      </c>
      <c r="D36" s="123" t="str">
        <f t="shared" si="2"/>
        <v>Gap 2024</v>
      </c>
      <c r="E36" s="123" t="str">
        <f t="shared" si="2"/>
        <v>RY1 2025</v>
      </c>
      <c r="F36" s="123" t="str">
        <f t="shared" si="2"/>
        <v>RY2 2026</v>
      </c>
      <c r="G36" s="123"/>
    </row>
    <row r="38" spans="1:13" x14ac:dyDescent="0.35">
      <c r="A38" t="s">
        <v>1793</v>
      </c>
      <c r="B38" s="116"/>
      <c r="C38" s="116">
        <v>554175896.7260201</v>
      </c>
      <c r="D38" s="116">
        <v>544281102.25228322</v>
      </c>
      <c r="E38" s="116">
        <v>535878245.40789253</v>
      </c>
      <c r="F38" s="116">
        <v>533404884.02733493</v>
      </c>
      <c r="G38" s="116"/>
    </row>
    <row r="39" spans="1:13" x14ac:dyDescent="0.35">
      <c r="A39" t="s">
        <v>364</v>
      </c>
      <c r="B39" s="236"/>
      <c r="C39" s="236">
        <f>SUM('Summary DPK-7 '!G15:G16)</f>
        <v>554175896.72602034</v>
      </c>
      <c r="D39" s="236">
        <f>'Summary DPK-7 '!I15</f>
        <v>554377915.72602034</v>
      </c>
      <c r="E39" s="236">
        <f>'Summary DPK-7 '!K15</f>
        <v>550773649.72602034</v>
      </c>
      <c r="F39" s="236">
        <f>'Summary DPK-7 '!M15</f>
        <v>550286906.72602034</v>
      </c>
      <c r="G39" s="236"/>
    </row>
    <row r="40" spans="1:13" ht="15" thickBot="1" x14ac:dyDescent="0.4">
      <c r="A40" t="s">
        <v>189</v>
      </c>
      <c r="B40" s="254"/>
      <c r="C40" s="254">
        <f>ROUND(C38-C39,0)</f>
        <v>0</v>
      </c>
      <c r="D40" s="254">
        <f>ROUND(D38-D39,0)</f>
        <v>-10096813</v>
      </c>
      <c r="E40" s="254">
        <f>ROUND(E38-E39,0)</f>
        <v>-14895404</v>
      </c>
      <c r="F40" s="254">
        <f>ROUND(F38-F39,0)</f>
        <v>-16882023</v>
      </c>
      <c r="G40" s="254"/>
    </row>
    <row r="41" spans="1:13" ht="15" thickTop="1" x14ac:dyDescent="0.35"/>
    <row r="42" spans="1:13" x14ac:dyDescent="0.35">
      <c r="F42" s="949"/>
    </row>
    <row r="43" spans="1:13" x14ac:dyDescent="0.35">
      <c r="M43" t="s">
        <v>227</v>
      </c>
    </row>
    <row r="44" spans="1:13" x14ac:dyDescent="0.35">
      <c r="A44" s="259" t="s">
        <v>1633</v>
      </c>
      <c r="B44" s="259"/>
      <c r="C44" s="258"/>
      <c r="D44" s="258"/>
      <c r="E44" s="260"/>
      <c r="F44" s="258"/>
      <c r="G44" s="258"/>
    </row>
    <row r="45" spans="1:13" x14ac:dyDescent="0.35">
      <c r="B45" s="1044" t="s">
        <v>1617</v>
      </c>
      <c r="C45" s="1044"/>
      <c r="D45" s="1044"/>
      <c r="E45" s="1044"/>
      <c r="F45" s="1044"/>
    </row>
    <row r="46" spans="1:13" x14ac:dyDescent="0.35">
      <c r="A46" s="123" t="s">
        <v>356</v>
      </c>
      <c r="B46" s="123" t="str">
        <f>B36</f>
        <v>Restated TY</v>
      </c>
      <c r="C46" s="123" t="str">
        <f t="shared" ref="C46:F46" si="3">C36</f>
        <v>Pro Forma 2023</v>
      </c>
      <c r="D46" s="123" t="str">
        <f t="shared" si="3"/>
        <v>Gap 2024</v>
      </c>
      <c r="E46" s="123" t="str">
        <f t="shared" si="3"/>
        <v>RY1 2025</v>
      </c>
      <c r="F46" s="123" t="str">
        <f t="shared" si="3"/>
        <v>RY2 2026</v>
      </c>
    </row>
    <row r="48" spans="1:13" x14ac:dyDescent="0.35">
      <c r="A48" t="s">
        <v>1618</v>
      </c>
      <c r="B48" s="116">
        <f>B66</f>
        <v>642144438.20807183</v>
      </c>
      <c r="C48" s="116">
        <f>C66+B48</f>
        <v>560317759.39133441</v>
      </c>
      <c r="D48" s="116">
        <f>D66+C48</f>
        <v>560519778.39133441</v>
      </c>
      <c r="E48" s="116">
        <f>E66+D48</f>
        <v>556915512.39133441</v>
      </c>
      <c r="F48" s="116">
        <f>F66+E48</f>
        <v>556428769.39133441</v>
      </c>
      <c r="G48" s="1045">
        <f>(('Summary DPK-7 '!M19)-F48)*F49</f>
        <v>-16464.760104059696</v>
      </c>
    </row>
    <row r="49" spans="1:7" x14ac:dyDescent="0.35">
      <c r="A49" t="s">
        <v>1619</v>
      </c>
      <c r="B49" s="1046">
        <v>4.0000000000000001E-3</v>
      </c>
      <c r="C49" s="1046">
        <f>B49</f>
        <v>4.0000000000000001E-3</v>
      </c>
      <c r="D49" s="1046">
        <f>C49</f>
        <v>4.0000000000000001E-3</v>
      </c>
      <c r="E49" s="1046">
        <f>D49</f>
        <v>4.0000000000000001E-3</v>
      </c>
      <c r="F49" s="1046">
        <f>E49</f>
        <v>4.0000000000000001E-3</v>
      </c>
      <c r="G49" s="1047" t="s">
        <v>1620</v>
      </c>
    </row>
    <row r="50" spans="1:7" x14ac:dyDescent="0.35">
      <c r="A50" t="s">
        <v>1621</v>
      </c>
      <c r="B50" s="1048">
        <f>B48*B49</f>
        <v>2568577.7528322875</v>
      </c>
      <c r="C50" s="1048">
        <f t="shared" ref="C50:F50" si="4">C48*C49</f>
        <v>2241271.0375653375</v>
      </c>
      <c r="D50" s="1048">
        <f t="shared" si="4"/>
        <v>2242079.1135653378</v>
      </c>
      <c r="E50" s="1048">
        <f t="shared" si="4"/>
        <v>2227662.0495653376</v>
      </c>
      <c r="F50" s="1048">
        <f t="shared" si="4"/>
        <v>2225715.0775653375</v>
      </c>
    </row>
    <row r="51" spans="1:7" x14ac:dyDescent="0.35">
      <c r="A51" t="s">
        <v>1622</v>
      </c>
      <c r="B51" s="1048">
        <f>-B61</f>
        <v>50000</v>
      </c>
      <c r="C51" s="1048">
        <f>-C61+B51</f>
        <v>50000</v>
      </c>
      <c r="D51" s="1048">
        <f t="shared" ref="D51:F51" si="5">-D61+C51</f>
        <v>50000</v>
      </c>
      <c r="E51" s="1048">
        <f t="shared" si="5"/>
        <v>50000</v>
      </c>
      <c r="F51" s="1048">
        <f t="shared" si="5"/>
        <v>50000</v>
      </c>
    </row>
    <row r="52" spans="1:7" x14ac:dyDescent="0.35">
      <c r="A52" t="s">
        <v>1623</v>
      </c>
      <c r="B52" s="1046">
        <v>1E-3</v>
      </c>
      <c r="C52" s="1046">
        <v>1E-3</v>
      </c>
      <c r="D52" s="1046">
        <v>1E-3</v>
      </c>
      <c r="E52" s="1046">
        <v>1E-3</v>
      </c>
      <c r="F52" s="1046">
        <v>1E-3</v>
      </c>
    </row>
    <row r="53" spans="1:7" x14ac:dyDescent="0.35">
      <c r="A53" t="s">
        <v>1624</v>
      </c>
      <c r="B53" s="1048">
        <f>B51*B52</f>
        <v>50</v>
      </c>
      <c r="C53" s="1048">
        <f t="shared" ref="C53:F53" si="6">C51*C52</f>
        <v>50</v>
      </c>
      <c r="D53" s="1048">
        <f t="shared" si="6"/>
        <v>50</v>
      </c>
      <c r="E53" s="1048">
        <f t="shared" si="6"/>
        <v>50</v>
      </c>
      <c r="F53" s="1048">
        <f t="shared" si="6"/>
        <v>50</v>
      </c>
    </row>
    <row r="54" spans="1:7" x14ac:dyDescent="0.35">
      <c r="A54" t="s">
        <v>1625</v>
      </c>
      <c r="B54" s="1048">
        <f>B53+B50</f>
        <v>2568627.7528322875</v>
      </c>
      <c r="C54" s="1048">
        <f t="shared" ref="C54:F54" si="7">C53+C50</f>
        <v>2241321.0375653375</v>
      </c>
      <c r="D54" s="1048">
        <f t="shared" si="7"/>
        <v>2242129.1135653378</v>
      </c>
      <c r="E54" s="1048">
        <f t="shared" si="7"/>
        <v>2227712.0495653376</v>
      </c>
      <c r="F54" s="1048">
        <f t="shared" si="7"/>
        <v>2225765.0775653375</v>
      </c>
    </row>
    <row r="55" spans="1:7" x14ac:dyDescent="0.35">
      <c r="A55" t="s">
        <v>364</v>
      </c>
      <c r="B55" s="1049">
        <f>B73</f>
        <v>2568627.752832287</v>
      </c>
      <c r="C55" s="1049">
        <f>C73+B55</f>
        <v>2241321.037565337</v>
      </c>
      <c r="D55" s="1049">
        <f>D73+C55</f>
        <v>2242129.1135653369</v>
      </c>
      <c r="E55" s="1049">
        <f>E73+D55</f>
        <v>2227712.0495653371</v>
      </c>
      <c r="F55" s="1049">
        <f>F73+E55</f>
        <v>2225765.0775653371</v>
      </c>
    </row>
    <row r="56" spans="1:7" ht="15" thickBot="1" x14ac:dyDescent="0.4">
      <c r="A56" t="s">
        <v>189</v>
      </c>
      <c r="B56" s="1050">
        <f>ROUND(B54-B55,0)</f>
        <v>0</v>
      </c>
      <c r="C56" s="1050">
        <f>ROUND(C54-C55,0)</f>
        <v>0</v>
      </c>
      <c r="D56" s="1050">
        <f t="shared" ref="D56:F56" si="8">ROUND(D54-D55,0)</f>
        <v>0</v>
      </c>
      <c r="E56" s="1050">
        <f t="shared" si="8"/>
        <v>0</v>
      </c>
      <c r="F56" s="1050">
        <f t="shared" si="8"/>
        <v>0</v>
      </c>
    </row>
    <row r="57" spans="1:7" ht="15" thickTop="1" x14ac:dyDescent="0.35">
      <c r="B57" s="1051"/>
    </row>
    <row r="59" spans="1:7" x14ac:dyDescent="0.35">
      <c r="A59" t="s">
        <v>1626</v>
      </c>
      <c r="B59" s="116">
        <f>'Summary DPK-7 '!C15</f>
        <v>1320264855.1100001</v>
      </c>
      <c r="C59" s="116"/>
      <c r="D59" s="116"/>
      <c r="E59" s="116"/>
      <c r="F59" s="116"/>
    </row>
    <row r="60" spans="1:7" x14ac:dyDescent="0.35">
      <c r="A60" t="s">
        <v>1627</v>
      </c>
      <c r="B60" s="236"/>
      <c r="C60" s="236"/>
      <c r="D60" s="236"/>
      <c r="E60" s="236"/>
      <c r="F60" s="236"/>
    </row>
    <row r="61" spans="1:7" x14ac:dyDescent="0.35">
      <c r="A61" t="s">
        <v>1628</v>
      </c>
      <c r="B61" s="236">
        <v>-50000</v>
      </c>
      <c r="C61" s="236"/>
      <c r="D61" s="236"/>
      <c r="E61" s="236"/>
      <c r="F61" s="236"/>
      <c r="G61" s="994"/>
    </row>
    <row r="62" spans="1:7" x14ac:dyDescent="0.35">
      <c r="A62" t="s">
        <v>1629</v>
      </c>
      <c r="B62" s="236">
        <f>'Detailed Summary'!E20</f>
        <v>42764598.153237559</v>
      </c>
      <c r="C62" s="236">
        <f>'Detailed Summary'!E81</f>
        <v>-58370822.895894624</v>
      </c>
      <c r="D62" s="236">
        <f>'Detailed Summary'!E142</f>
        <v>202019</v>
      </c>
      <c r="E62" s="236">
        <f>'Detailed Summary'!E203</f>
        <v>-3604266</v>
      </c>
      <c r="F62" s="236">
        <f>'Detailed Summary'!E264</f>
        <v>-486743</v>
      </c>
    </row>
    <row r="63" spans="1:7" x14ac:dyDescent="0.35">
      <c r="A63" t="s">
        <v>1630</v>
      </c>
      <c r="B63" s="236">
        <f>SUM('Common Adj'!W17:W22,'Common Adj'!W24,'Common Adj'!W28:W32)</f>
        <v>-716900250.26500309</v>
      </c>
      <c r="C63" s="236">
        <f>'Detailed Summary'!F81</f>
        <v>0</v>
      </c>
      <c r="D63" s="236"/>
      <c r="E63" s="236"/>
      <c r="F63" s="236"/>
    </row>
    <row r="64" spans="1:7" x14ac:dyDescent="0.35">
      <c r="A64" t="s">
        <v>1480</v>
      </c>
      <c r="B64" s="236">
        <f>'Detailed Summary'!G20</f>
        <v>-90596.170162767172</v>
      </c>
      <c r="C64" s="236">
        <f>'Common Adj'!AQ20</f>
        <v>-23455855.920842834</v>
      </c>
      <c r="D64" s="236"/>
      <c r="E64" s="236"/>
      <c r="F64" s="236"/>
    </row>
    <row r="65" spans="1:7" x14ac:dyDescent="0.35">
      <c r="A65" t="s">
        <v>1614</v>
      </c>
      <c r="B65" s="236">
        <f>'Detailed Summary'!AB20</f>
        <v>-3844168.62</v>
      </c>
      <c r="C65" s="236"/>
      <c r="D65" s="236"/>
      <c r="E65" s="236"/>
      <c r="F65" s="236"/>
    </row>
    <row r="66" spans="1:7" ht="15" thickBot="1" x14ac:dyDescent="0.4">
      <c r="A66" t="s">
        <v>1631</v>
      </c>
      <c r="B66" s="1050">
        <f>SUM(B59:B65)</f>
        <v>642144438.20807183</v>
      </c>
      <c r="C66" s="1050">
        <f>SUM(C59:C65)</f>
        <v>-81826678.816737458</v>
      </c>
      <c r="D66" s="1050">
        <f>SUM(D59:D65)</f>
        <v>202019</v>
      </c>
      <c r="E66" s="1050">
        <f>SUM(E59:E65)</f>
        <v>-3604266</v>
      </c>
      <c r="F66" s="1050">
        <f>SUM(F59:F65)</f>
        <v>-486743</v>
      </c>
    </row>
    <row r="67" spans="1:7" ht="15" thickTop="1" x14ac:dyDescent="0.35"/>
    <row r="68" spans="1:7" x14ac:dyDescent="0.35">
      <c r="A68" t="s">
        <v>1632</v>
      </c>
      <c r="B68" s="116">
        <f>'Common Adj'!NB17</f>
        <v>5280909.4204400005</v>
      </c>
      <c r="G68" s="994"/>
    </row>
    <row r="69" spans="1:7" x14ac:dyDescent="0.35">
      <c r="A69" t="s">
        <v>1275</v>
      </c>
      <c r="B69" s="236">
        <f>'BD-FF'!E67</f>
        <v>171058.39261295024</v>
      </c>
      <c r="C69" s="116">
        <f>'BD-FF'!E68</f>
        <v>-233483.29158357851</v>
      </c>
      <c r="D69" s="116">
        <f>'BD-FF'!E69</f>
        <v>808.07600000000002</v>
      </c>
      <c r="E69" s="116">
        <f>'BD-FF'!E70</f>
        <v>-14417.064</v>
      </c>
      <c r="F69" s="116">
        <f>'BD-FF'!F71</f>
        <v>-1946.972</v>
      </c>
      <c r="G69" s="236"/>
    </row>
    <row r="70" spans="1:7" x14ac:dyDescent="0.35">
      <c r="A70" t="s">
        <v>1038</v>
      </c>
      <c r="B70" s="236">
        <f>'BD-FF'!E74</f>
        <v>-2867601.0010600123</v>
      </c>
      <c r="C70" s="236">
        <f>'BD-FF'!E75</f>
        <v>0</v>
      </c>
      <c r="G70" s="236"/>
    </row>
    <row r="71" spans="1:7" x14ac:dyDescent="0.35">
      <c r="A71" t="s">
        <v>1480</v>
      </c>
      <c r="B71" s="236">
        <f>'BD-FF'!E81</f>
        <v>-362.38468065106872</v>
      </c>
      <c r="C71" s="236">
        <f>'BD-FF'!E82</f>
        <v>-93823.423683371337</v>
      </c>
      <c r="G71" s="236"/>
    </row>
    <row r="72" spans="1:7" x14ac:dyDescent="0.35">
      <c r="A72" t="s">
        <v>1614</v>
      </c>
      <c r="B72" s="236">
        <f>'BD-FF'!E102</f>
        <v>-15376.674480000001</v>
      </c>
      <c r="C72" s="236">
        <f>'BD-FF'!E103</f>
        <v>0</v>
      </c>
      <c r="G72" s="236"/>
    </row>
    <row r="73" spans="1:7" ht="15" thickBot="1" x14ac:dyDescent="0.4">
      <c r="A73" t="s">
        <v>1625</v>
      </c>
      <c r="B73" s="1050">
        <f>SUM(B68:B72)</f>
        <v>2568627.752832287</v>
      </c>
      <c r="C73" s="1050">
        <f>SUM(C68:C72)</f>
        <v>-327306.71526694985</v>
      </c>
      <c r="D73" s="1050">
        <f>SUM(D68:D72)</f>
        <v>808.07600000000002</v>
      </c>
      <c r="E73" s="1050">
        <f>SUM(E68:E72)</f>
        <v>-14417.064</v>
      </c>
      <c r="F73" s="1050">
        <f>SUM(F68:F72)</f>
        <v>-1946.972</v>
      </c>
    </row>
    <row r="74" spans="1:7" ht="15" thickTop="1" x14ac:dyDescent="0.35"/>
    <row r="75" spans="1:7" x14ac:dyDescent="0.35">
      <c r="A75" s="259" t="s">
        <v>1634</v>
      </c>
      <c r="B75" s="259"/>
      <c r="C75" s="258"/>
      <c r="D75" s="258"/>
      <c r="E75" s="260"/>
      <c r="F75" s="258"/>
      <c r="G75" s="258"/>
    </row>
    <row r="77" spans="1:7" x14ac:dyDescent="0.35">
      <c r="A77" s="123" t="str">
        <f>A46</f>
        <v>Desription</v>
      </c>
      <c r="B77" s="123" t="str">
        <f>B46</f>
        <v>Restated TY</v>
      </c>
      <c r="C77" s="123" t="str">
        <f t="shared" ref="C77:F77" si="9">C46</f>
        <v>Pro Forma 2023</v>
      </c>
      <c r="D77" s="123" t="str">
        <f t="shared" si="9"/>
        <v>Gap 2024</v>
      </c>
      <c r="E77" s="123" t="str">
        <f t="shared" si="9"/>
        <v>RY1 2025</v>
      </c>
      <c r="F77" s="123" t="str">
        <f t="shared" si="9"/>
        <v>RY2 2026</v>
      </c>
      <c r="G77" s="123"/>
    </row>
    <row r="79" spans="1:7" x14ac:dyDescent="0.35">
      <c r="A79" t="s">
        <v>1636</v>
      </c>
      <c r="B79" s="116">
        <f>B66-B61+'Detailed Summary'!AK19</f>
        <v>642194438.20807183</v>
      </c>
      <c r="C79" s="116">
        <f>C95+B79+C62</f>
        <v>583823615.31217718</v>
      </c>
      <c r="D79" s="116">
        <f>D95+C79+D62</f>
        <v>584025634.31217718</v>
      </c>
      <c r="E79" s="116">
        <f>E95+D79+E62</f>
        <v>580421368.31217718</v>
      </c>
      <c r="F79" s="116">
        <f>F95+E79+F62</f>
        <v>579934625.31217718</v>
      </c>
      <c r="G79" s="1045">
        <f>(('Summary DPK-7 '!M19)-F79)*F80</f>
        <v>-79855.334832365581</v>
      </c>
    </row>
    <row r="80" spans="1:7" x14ac:dyDescent="0.35">
      <c r="A80" t="s">
        <v>1637</v>
      </c>
      <c r="B80" s="1052">
        <v>2.8909999999999999E-3</v>
      </c>
      <c r="C80" s="1052">
        <f>B80</f>
        <v>2.8909999999999999E-3</v>
      </c>
      <c r="D80" s="1052">
        <f>C80</f>
        <v>2.8909999999999999E-3</v>
      </c>
      <c r="E80" s="1052">
        <f>D80</f>
        <v>2.8909999999999999E-3</v>
      </c>
      <c r="F80" s="1052">
        <f>E80</f>
        <v>2.8909999999999999E-3</v>
      </c>
      <c r="G80" s="1047" t="s">
        <v>1620</v>
      </c>
    </row>
    <row r="81" spans="1:7" x14ac:dyDescent="0.35">
      <c r="A81" t="s">
        <v>1638</v>
      </c>
      <c r="B81" s="1048">
        <f>B79*B80</f>
        <v>1856584.1208595356</v>
      </c>
      <c r="C81" s="1048">
        <f t="shared" ref="C81" si="10">C79*C80</f>
        <v>1687834.0718675042</v>
      </c>
      <c r="D81" s="1048">
        <f t="shared" ref="D81" si="11">D79*D80</f>
        <v>1688418.1087965041</v>
      </c>
      <c r="E81" s="1048">
        <f t="shared" ref="E81" si="12">E79*E80</f>
        <v>1677998.1757905041</v>
      </c>
      <c r="F81" s="1048">
        <f t="shared" ref="F81" si="13">F79*F80</f>
        <v>1676591.0017775041</v>
      </c>
    </row>
    <row r="82" spans="1:7" x14ac:dyDescent="0.35">
      <c r="A82" t="s">
        <v>364</v>
      </c>
      <c r="B82" s="116">
        <f>B91</f>
        <v>1856584.1208595359</v>
      </c>
      <c r="C82" s="116">
        <f>C91+B82</f>
        <v>1687834.0718675046</v>
      </c>
      <c r="D82" s="116">
        <f>D91+C82</f>
        <v>1688418.1087965046</v>
      </c>
      <c r="E82" s="116">
        <f>E91+D82</f>
        <v>1677998.1757905046</v>
      </c>
      <c r="F82" s="116">
        <f>F91+E82</f>
        <v>1676591.0017775046</v>
      </c>
    </row>
    <row r="83" spans="1:7" ht="15" thickBot="1" x14ac:dyDescent="0.4">
      <c r="A83" t="s">
        <v>189</v>
      </c>
      <c r="B83" s="1050">
        <f>ROUND(B81-B82,0)</f>
        <v>0</v>
      </c>
      <c r="C83" s="1050">
        <f>ROUND(C81-C82,0)</f>
        <v>0</v>
      </c>
      <c r="D83" s="1050">
        <f t="shared" ref="D83" si="14">ROUND(D81-D82,0)</f>
        <v>0</v>
      </c>
      <c r="E83" s="1050">
        <f t="shared" ref="E83" si="15">ROUND(E81-E82,0)</f>
        <v>0</v>
      </c>
      <c r="F83" s="1050">
        <f t="shared" ref="F83" si="16">ROUND(F81-F82,0)</f>
        <v>0</v>
      </c>
    </row>
    <row r="84" spans="1:7" ht="15" thickTop="1" x14ac:dyDescent="0.35"/>
    <row r="85" spans="1:7" x14ac:dyDescent="0.35">
      <c r="A85" t="s">
        <v>1635</v>
      </c>
      <c r="B85" s="116">
        <f>'Common Adj'!CR17</f>
        <v>3816885.6961230105</v>
      </c>
      <c r="G85" s="116"/>
    </row>
    <row r="86" spans="1:7" x14ac:dyDescent="0.35">
      <c r="A86" t="s">
        <v>1275</v>
      </c>
      <c r="B86" s="236">
        <f>'BD-FF'!E9</f>
        <v>123632.45326100978</v>
      </c>
      <c r="C86" s="116">
        <f>'BD-FF'!E10</f>
        <v>-168750.04899203134</v>
      </c>
      <c r="D86" s="116">
        <f>'BD-FF'!E11</f>
        <v>584.03692899999999</v>
      </c>
      <c r="E86" s="116">
        <f>'BD-FF'!E12</f>
        <v>-10419.933005999999</v>
      </c>
      <c r="F86" s="116">
        <f>'BD-FF'!F13</f>
        <v>-1407.1740130000001</v>
      </c>
      <c r="G86" s="116"/>
    </row>
    <row r="87" spans="1:7" x14ac:dyDescent="0.35">
      <c r="A87" t="s">
        <v>1038</v>
      </c>
      <c r="B87" s="236">
        <f>'BD-FF'!E16</f>
        <v>-2072558.6235161237</v>
      </c>
      <c r="C87" s="236"/>
      <c r="G87" s="116"/>
    </row>
    <row r="88" spans="1:7" x14ac:dyDescent="0.35">
      <c r="A88" t="s">
        <v>1480</v>
      </c>
      <c r="B88" s="236">
        <f>'BD-FF'!E23</f>
        <v>-261.9135279405599</v>
      </c>
      <c r="C88" s="236"/>
      <c r="G88" s="116"/>
    </row>
    <row r="89" spans="1:7" x14ac:dyDescent="0.35">
      <c r="A89" t="s">
        <v>1614</v>
      </c>
      <c r="B89" s="236">
        <f>'BD-FF'!E44</f>
        <v>-11113.49148042</v>
      </c>
      <c r="C89" s="236"/>
      <c r="G89" s="116"/>
    </row>
    <row r="90" spans="1:7" x14ac:dyDescent="0.35">
      <c r="A90" t="s">
        <v>1640</v>
      </c>
      <c r="B90" s="236">
        <f>'BD-FF'!E51</f>
        <v>0</v>
      </c>
      <c r="C90" s="236"/>
      <c r="G90" s="116"/>
    </row>
    <row r="91" spans="1:7" ht="15" thickBot="1" x14ac:dyDescent="0.4">
      <c r="A91" t="s">
        <v>1625</v>
      </c>
      <c r="B91" s="1050">
        <f>SUM(B85:B90)</f>
        <v>1856584.1208595359</v>
      </c>
      <c r="C91" s="1050">
        <f>SUM(C85:C89)</f>
        <v>-168750.04899203134</v>
      </c>
      <c r="D91" s="1050">
        <f>SUM(D85:D89)</f>
        <v>584.03692899999999</v>
      </c>
      <c r="E91" s="1050">
        <f>SUM(E85:E89)</f>
        <v>-10419.933005999999</v>
      </c>
      <c r="F91" s="1050">
        <f>SUM(F85:F89)</f>
        <v>-1407.1740130000001</v>
      </c>
    </row>
    <row r="92" spans="1:7" ht="15" thickTop="1" x14ac:dyDescent="0.35"/>
  </sheetData>
  <conditionalFormatting sqref="B56:F56">
    <cfRule type="cellIs" dxfId="15" priority="3" operator="notEqual">
      <formula>0</formula>
    </cfRule>
  </conditionalFormatting>
  <conditionalFormatting sqref="B83:F83">
    <cfRule type="cellIs" dxfId="14" priority="1" operator="notEqual">
      <formula>0</formula>
    </cfRule>
  </conditionalFormatting>
  <conditionalFormatting sqref="B16:G16">
    <cfRule type="cellIs" dxfId="13" priority="5" operator="notEqual">
      <formula>0</formula>
    </cfRule>
  </conditionalFormatting>
  <conditionalFormatting sqref="B40:G40">
    <cfRule type="cellIs" dxfId="12" priority="4" operator="notEqual">
      <formula>0</formula>
    </cfRule>
  </conditionalFormatting>
  <pageMargins left="0.7" right="0.7" top="0.75" bottom="0.75" header="0.3" footer="0.3"/>
  <pageSetup orientation="portrait" horizontalDpi="4294967293" verticalDpi="90"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G48"/>
  <sheetViews>
    <sheetView zoomScale="85" zoomScaleNormal="85" workbookViewId="0">
      <pane xSplit="3" ySplit="9" topLeftCell="P10" activePane="bottomRight" state="frozen"/>
      <selection activeCell="B159" sqref="B159"/>
      <selection pane="topRight" activeCell="B159" sqref="B159"/>
      <selection pane="bottomLeft" activeCell="B159" sqref="B159"/>
      <selection pane="bottomRight" activeCell="B159" sqref="B159"/>
    </sheetView>
  </sheetViews>
  <sheetFormatPr defaultColWidth="9.26953125" defaultRowHeight="14.5" outlineLevelRow="1" outlineLevelCol="1" x14ac:dyDescent="0.35"/>
  <cols>
    <col min="1" max="1" width="9.7265625" bestFit="1" customWidth="1"/>
    <col min="2" max="2" width="11.26953125" style="268" bestFit="1" customWidth="1"/>
    <col min="3" max="3" width="41.26953125" style="268" bestFit="1" customWidth="1"/>
    <col min="4" max="4" width="18.453125" bestFit="1" customWidth="1"/>
    <col min="5" max="9" width="18.453125" customWidth="1" outlineLevel="1"/>
    <col min="10" max="11" width="18.453125" bestFit="1" customWidth="1"/>
    <col min="12" max="14" width="18.453125" customWidth="1" outlineLevel="1"/>
    <col min="15" max="16" width="18.453125" bestFit="1" customWidth="1"/>
    <col min="17" max="19" width="18.453125" customWidth="1" outlineLevel="1"/>
    <col min="20" max="21" width="18.453125" bestFit="1" customWidth="1"/>
    <col min="22" max="24" width="18.453125" customWidth="1" outlineLevel="1"/>
    <col min="25" max="26" width="18.453125" bestFit="1" customWidth="1"/>
    <col min="27" max="29" width="18.453125" customWidth="1" outlineLevel="1"/>
    <col min="30" max="31" width="18.453125" bestFit="1" customWidth="1"/>
    <col min="32" max="32" width="187.26953125" bestFit="1" customWidth="1"/>
  </cols>
  <sheetData>
    <row r="1" spans="1:32" outlineLevel="1" x14ac:dyDescent="0.35">
      <c r="D1" s="809" t="b">
        <f t="shared" ref="D1:H1" si="0">ISBLANK(D6)</f>
        <v>0</v>
      </c>
      <c r="E1" s="809" t="b">
        <f t="shared" ref="E1" si="1">ISBLANK(E6)</f>
        <v>0</v>
      </c>
      <c r="F1" s="809" t="b">
        <f t="shared" si="0"/>
        <v>0</v>
      </c>
      <c r="G1" s="809" t="b">
        <f t="shared" si="0"/>
        <v>0</v>
      </c>
      <c r="H1" s="809" t="b">
        <f t="shared" si="0"/>
        <v>0</v>
      </c>
      <c r="I1" s="809" t="b">
        <f>ISBLANK(I6)</f>
        <v>0</v>
      </c>
      <c r="J1" s="809" t="b">
        <f t="shared" ref="J1:AE1" si="2">ISBLANK(J6)</f>
        <v>0</v>
      </c>
      <c r="K1" s="809" t="b">
        <f t="shared" si="2"/>
        <v>0</v>
      </c>
      <c r="L1" s="809" t="b">
        <f t="shared" si="2"/>
        <v>0</v>
      </c>
      <c r="M1" s="809" t="b">
        <f t="shared" si="2"/>
        <v>0</v>
      </c>
      <c r="N1" s="809" t="b">
        <f t="shared" si="2"/>
        <v>0</v>
      </c>
      <c r="O1" s="809" t="b">
        <f t="shared" si="2"/>
        <v>0</v>
      </c>
      <c r="P1" s="809" t="b">
        <f t="shared" si="2"/>
        <v>0</v>
      </c>
      <c r="Q1" s="809" t="b">
        <f t="shared" si="2"/>
        <v>0</v>
      </c>
      <c r="R1" s="809" t="b">
        <f t="shared" si="2"/>
        <v>0</v>
      </c>
      <c r="S1" s="809" t="b">
        <f t="shared" si="2"/>
        <v>0</v>
      </c>
      <c r="T1" s="809" t="b">
        <f t="shared" si="2"/>
        <v>0</v>
      </c>
      <c r="U1" s="809" t="b">
        <f t="shared" si="2"/>
        <v>0</v>
      </c>
      <c r="V1" s="809" t="b">
        <f t="shared" ref="V1" si="3">ISBLANK(V6)</f>
        <v>0</v>
      </c>
      <c r="W1" s="809" t="b">
        <f t="shared" si="2"/>
        <v>0</v>
      </c>
      <c r="X1" s="809" t="b">
        <f t="shared" si="2"/>
        <v>0</v>
      </c>
      <c r="Y1" s="809" t="b">
        <f t="shared" si="2"/>
        <v>0</v>
      </c>
      <c r="Z1" s="809" t="b">
        <f t="shared" si="2"/>
        <v>0</v>
      </c>
      <c r="AA1" s="809" t="b">
        <f t="shared" si="2"/>
        <v>0</v>
      </c>
      <c r="AB1" s="809" t="b">
        <f t="shared" si="2"/>
        <v>0</v>
      </c>
      <c r="AC1" s="809" t="b">
        <f t="shared" si="2"/>
        <v>0</v>
      </c>
      <c r="AD1" s="809" t="b">
        <f t="shared" si="2"/>
        <v>0</v>
      </c>
      <c r="AE1" s="809" t="b">
        <f t="shared" si="2"/>
        <v>0</v>
      </c>
    </row>
    <row r="2" spans="1:32" x14ac:dyDescent="0.35">
      <c r="A2" s="810" t="s">
        <v>1125</v>
      </c>
      <c r="B2" s="810"/>
      <c r="C2" s="810"/>
      <c r="D2" s="809" t="str">
        <f t="shared" ref="D2:H2" si="4">IF(ISBLANK(D6),"ADD FORMULA!","OK")</f>
        <v>OK</v>
      </c>
      <c r="E2" s="809" t="str">
        <f t="shared" ref="E2" si="5">IF(ISBLANK(E6),"ADD FORMULA!","OK")</f>
        <v>OK</v>
      </c>
      <c r="F2" s="809" t="str">
        <f t="shared" si="4"/>
        <v>OK</v>
      </c>
      <c r="G2" s="809" t="str">
        <f t="shared" si="4"/>
        <v>OK</v>
      </c>
      <c r="H2" s="809" t="str">
        <f t="shared" si="4"/>
        <v>OK</v>
      </c>
      <c r="I2" s="809" t="str">
        <f>IF(ISBLANK(I6),"ADD FORMULA!","OK")</f>
        <v>OK</v>
      </c>
      <c r="J2" s="809" t="str">
        <f t="shared" ref="J2:AE2" si="6">IF(ISBLANK(J6),"ADD FORMULA!","OK")</f>
        <v>OK</v>
      </c>
      <c r="K2" s="809" t="str">
        <f t="shared" si="6"/>
        <v>OK</v>
      </c>
      <c r="L2" s="809" t="str">
        <f t="shared" si="6"/>
        <v>OK</v>
      </c>
      <c r="M2" s="809" t="str">
        <f t="shared" si="6"/>
        <v>OK</v>
      </c>
      <c r="N2" s="809" t="str">
        <f t="shared" si="6"/>
        <v>OK</v>
      </c>
      <c r="O2" s="809" t="str">
        <f t="shared" si="6"/>
        <v>OK</v>
      </c>
      <c r="P2" s="809" t="str">
        <f t="shared" si="6"/>
        <v>OK</v>
      </c>
      <c r="Q2" s="809" t="str">
        <f t="shared" si="6"/>
        <v>OK</v>
      </c>
      <c r="R2" s="809" t="str">
        <f t="shared" si="6"/>
        <v>OK</v>
      </c>
      <c r="S2" s="809" t="str">
        <f t="shared" si="6"/>
        <v>OK</v>
      </c>
      <c r="T2" s="809" t="str">
        <f t="shared" si="6"/>
        <v>OK</v>
      </c>
      <c r="U2" s="809" t="str">
        <f t="shared" si="6"/>
        <v>OK</v>
      </c>
      <c r="V2" s="809" t="str">
        <f t="shared" ref="V2" si="7">IF(ISBLANK(V6),"ADD FORMULA!","OK")</f>
        <v>OK</v>
      </c>
      <c r="W2" s="809" t="str">
        <f t="shared" si="6"/>
        <v>OK</v>
      </c>
      <c r="X2" s="809" t="str">
        <f t="shared" si="6"/>
        <v>OK</v>
      </c>
      <c r="Y2" s="809" t="str">
        <f t="shared" si="6"/>
        <v>OK</v>
      </c>
      <c r="Z2" s="809" t="str">
        <f t="shared" si="6"/>
        <v>OK</v>
      </c>
      <c r="AA2" s="809" t="str">
        <f t="shared" si="6"/>
        <v>OK</v>
      </c>
      <c r="AB2" s="809" t="str">
        <f t="shared" si="6"/>
        <v>OK</v>
      </c>
      <c r="AC2" s="809" t="str">
        <f t="shared" si="6"/>
        <v>OK</v>
      </c>
      <c r="AD2" s="809" t="str">
        <f t="shared" si="6"/>
        <v>OK</v>
      </c>
      <c r="AE2" s="809" t="str">
        <f t="shared" si="6"/>
        <v>OK</v>
      </c>
    </row>
    <row r="3" spans="1:32" x14ac:dyDescent="0.35">
      <c r="A3" s="811" t="s">
        <v>1126</v>
      </c>
      <c r="B3" s="811"/>
      <c r="C3" s="811"/>
      <c r="D3" s="811"/>
      <c r="E3" s="811"/>
      <c r="F3" s="811"/>
      <c r="G3" s="811"/>
      <c r="H3" s="811"/>
      <c r="I3" s="811"/>
      <c r="J3" s="811"/>
      <c r="K3" s="811"/>
      <c r="L3" s="811"/>
      <c r="M3" s="811"/>
      <c r="N3" s="811"/>
      <c r="O3" s="811"/>
      <c r="P3" s="811"/>
    </row>
    <row r="4" spans="1:32" x14ac:dyDescent="0.35">
      <c r="A4" s="1354">
        <f>SUM(D4:AF4)</f>
        <v>0</v>
      </c>
      <c r="B4" s="1354"/>
      <c r="C4" t="s">
        <v>1127</v>
      </c>
      <c r="D4" s="319">
        <f t="shared" ref="D4:I4" si="8">ROUND(D5-D6,0)</f>
        <v>0</v>
      </c>
      <c r="E4" s="319">
        <f t="shared" ref="E4" si="9">ROUND(E5-E6,0)</f>
        <v>0</v>
      </c>
      <c r="F4" s="319">
        <f>ROUND(F5-F6,0)</f>
        <v>0</v>
      </c>
      <c r="G4" s="319">
        <f t="shared" si="8"/>
        <v>0</v>
      </c>
      <c r="H4" s="319">
        <f t="shared" si="8"/>
        <v>0</v>
      </c>
      <c r="I4" s="319">
        <f t="shared" si="8"/>
        <v>0</v>
      </c>
      <c r="J4" s="319">
        <f>ROUND(J5-J6,0)</f>
        <v>0</v>
      </c>
      <c r="K4" s="319">
        <f>ROUND(K5-K6,0)</f>
        <v>0</v>
      </c>
      <c r="L4" s="319">
        <f t="shared" ref="L4:AE4" si="10">ROUND(L5-L6,0)</f>
        <v>0</v>
      </c>
      <c r="M4" s="319">
        <f t="shared" si="10"/>
        <v>0</v>
      </c>
      <c r="N4" s="319">
        <f t="shared" si="10"/>
        <v>0</v>
      </c>
      <c r="O4" s="319">
        <f t="shared" si="10"/>
        <v>0</v>
      </c>
      <c r="P4" s="319">
        <f t="shared" si="10"/>
        <v>0</v>
      </c>
      <c r="Q4" s="319">
        <f t="shared" si="10"/>
        <v>0</v>
      </c>
      <c r="R4" s="319">
        <f t="shared" si="10"/>
        <v>0</v>
      </c>
      <c r="S4" s="319">
        <f t="shared" si="10"/>
        <v>0</v>
      </c>
      <c r="T4" s="319">
        <f t="shared" si="10"/>
        <v>0</v>
      </c>
      <c r="U4" s="319">
        <f t="shared" si="10"/>
        <v>0</v>
      </c>
      <c r="V4" s="319">
        <f t="shared" ref="V4" si="11">ROUND(V5-V6,0)</f>
        <v>0</v>
      </c>
      <c r="W4" s="319">
        <f t="shared" si="10"/>
        <v>0</v>
      </c>
      <c r="X4" s="319">
        <f t="shared" si="10"/>
        <v>0</v>
      </c>
      <c r="Y4" s="319">
        <f t="shared" si="10"/>
        <v>0</v>
      </c>
      <c r="Z4" s="319">
        <f t="shared" si="10"/>
        <v>0</v>
      </c>
      <c r="AA4" s="319">
        <f t="shared" si="10"/>
        <v>0</v>
      </c>
      <c r="AB4" s="319">
        <f t="shared" si="10"/>
        <v>0</v>
      </c>
      <c r="AC4" s="319">
        <f t="shared" si="10"/>
        <v>0</v>
      </c>
      <c r="AD4" s="319">
        <f t="shared" si="10"/>
        <v>0</v>
      </c>
      <c r="AE4" s="319">
        <f t="shared" si="10"/>
        <v>0</v>
      </c>
    </row>
    <row r="5" spans="1:32" x14ac:dyDescent="0.35">
      <c r="B5" s="268" t="s">
        <v>1128</v>
      </c>
      <c r="D5" s="242">
        <f>'Summary DPK-7 '!$C$18</f>
        <v>14367467.789999999</v>
      </c>
      <c r="E5" s="242">
        <f>'Detailed Summary'!$E$19</f>
        <v>111532.00999999978</v>
      </c>
      <c r="F5" s="242">
        <f>'Detailed Summary'!$F$19</f>
        <v>11058338.82</v>
      </c>
      <c r="G5" s="242">
        <f>'Detailed Summary'!$AB$19</f>
        <v>-3844168.62</v>
      </c>
      <c r="H5" s="242"/>
      <c r="I5" s="242"/>
      <c r="J5" s="242">
        <f>'Summary DPK-7 '!$D$18</f>
        <v>7325702.21</v>
      </c>
      <c r="K5" s="242">
        <f>'Summary DPK-7 '!$E$18</f>
        <v>21693170</v>
      </c>
      <c r="L5" s="242">
        <f>'Detailed Summary'!$E$80</f>
        <v>-836935.66999999993</v>
      </c>
      <c r="M5" s="242">
        <f>'Detailed Summary'!$AQ$80</f>
        <v>-1336792.368297589</v>
      </c>
      <c r="N5" s="242">
        <f>'Detailed Summary'!$AP$80</f>
        <v>-20081109</v>
      </c>
      <c r="O5" s="242">
        <f>'Summary DPK-7 '!$F$18</f>
        <v>-22254837.03829759</v>
      </c>
      <c r="P5" s="242">
        <f>'Summary DPK-7 '!$G$18</f>
        <v>-561667.03829758987</v>
      </c>
      <c r="Q5" s="242"/>
      <c r="R5" s="242">
        <f>'Summary DPK-7 '!H18</f>
        <v>-43122.744148794794</v>
      </c>
      <c r="S5" s="242"/>
      <c r="T5" s="242">
        <f>'Summary DPK-7 '!$H$18</f>
        <v>-43122.744148794794</v>
      </c>
      <c r="U5" s="242">
        <f>'Summary DPK-7 '!$I$18</f>
        <v>-604789.78244638466</v>
      </c>
      <c r="V5" s="242"/>
      <c r="W5" s="242">
        <f>'Summary DPK-7 '!J18</f>
        <v>0</v>
      </c>
      <c r="X5" s="242"/>
      <c r="Y5" s="242">
        <f>'Summary DPK-7 '!$J$18</f>
        <v>0</v>
      </c>
      <c r="Z5" s="242">
        <f>'Summary DPK-7 '!$K$18</f>
        <v>-604789.78244638466</v>
      </c>
      <c r="AA5" s="242"/>
      <c r="AB5" s="242">
        <f>'Summary DPK-7 '!L18</f>
        <v>2630462.4217455317</v>
      </c>
      <c r="AC5" s="242"/>
      <c r="AD5" s="242">
        <f>'Summary DPK-7 '!$L$18</f>
        <v>2630462.4217455317</v>
      </c>
      <c r="AE5" s="242">
        <f>'Summary DPK-7 '!$M$18</f>
        <v>2025672.6392991471</v>
      </c>
    </row>
    <row r="6" spans="1:32" x14ac:dyDescent="0.35">
      <c r="B6" s="268" t="s">
        <v>1077</v>
      </c>
      <c r="D6" s="242">
        <f>D47</f>
        <v>14367467.790000001</v>
      </c>
      <c r="E6" s="242">
        <f>E47</f>
        <v>111532.01000000001</v>
      </c>
      <c r="F6" s="242">
        <f>F47</f>
        <v>11058338.82</v>
      </c>
      <c r="G6" s="242">
        <f>G47</f>
        <v>-3844168.62</v>
      </c>
      <c r="H6" s="242">
        <f t="shared" ref="H6:I6" si="12">H47</f>
        <v>0</v>
      </c>
      <c r="I6" s="242">
        <f t="shared" si="12"/>
        <v>0</v>
      </c>
      <c r="J6" s="242">
        <f>J47</f>
        <v>7325702.209999999</v>
      </c>
      <c r="K6" s="242">
        <f>K47</f>
        <v>21693170</v>
      </c>
      <c r="L6" s="242">
        <f t="shared" ref="L6:N6" si="13">L47</f>
        <v>-836935.66999999993</v>
      </c>
      <c r="M6" s="242">
        <f t="shared" si="13"/>
        <v>-1336792.368297589</v>
      </c>
      <c r="N6" s="242">
        <f t="shared" si="13"/>
        <v>-20081109</v>
      </c>
      <c r="O6" s="242">
        <f>O47</f>
        <v>-22254837.03829759</v>
      </c>
      <c r="P6" s="242">
        <f>P47</f>
        <v>-561667.03829758917</v>
      </c>
      <c r="Q6" s="242">
        <f t="shared" ref="Q6:S6" si="14">Q47</f>
        <v>0</v>
      </c>
      <c r="R6" s="242">
        <f t="shared" si="14"/>
        <v>-43122.744148794794</v>
      </c>
      <c r="S6" s="242">
        <f t="shared" si="14"/>
        <v>0</v>
      </c>
      <c r="T6" s="242">
        <f>T47</f>
        <v>-43122.744148794794</v>
      </c>
      <c r="U6" s="242">
        <f>U47</f>
        <v>-604789.78244638396</v>
      </c>
      <c r="V6" s="242">
        <f t="shared" ref="V6" si="15">V47</f>
        <v>0</v>
      </c>
      <c r="W6" s="242">
        <f t="shared" ref="W6:X6" si="16">W47</f>
        <v>0</v>
      </c>
      <c r="X6" s="242">
        <f t="shared" si="16"/>
        <v>0</v>
      </c>
      <c r="Y6" s="242">
        <f>Y47</f>
        <v>0</v>
      </c>
      <c r="Z6" s="242">
        <f>Z47</f>
        <v>-604789.78244638396</v>
      </c>
      <c r="AA6" s="242">
        <f t="shared" ref="AA6:AC6" si="17">AA47</f>
        <v>0</v>
      </c>
      <c r="AB6" s="242">
        <f t="shared" si="17"/>
        <v>2630462.4217455317</v>
      </c>
      <c r="AC6" s="242">
        <f t="shared" si="17"/>
        <v>0</v>
      </c>
      <c r="AD6" s="242">
        <f>AD47</f>
        <v>2630462.4217455317</v>
      </c>
      <c r="AE6" s="242">
        <f>AE47</f>
        <v>2025672.6392991478</v>
      </c>
    </row>
    <row r="7" spans="1:32" x14ac:dyDescent="0.35">
      <c r="E7" s="812" t="s">
        <v>1129</v>
      </c>
      <c r="F7" s="812" t="s">
        <v>1129</v>
      </c>
      <c r="G7" s="812"/>
      <c r="H7" s="812"/>
      <c r="I7" s="812"/>
      <c r="L7" s="812" t="s">
        <v>1129</v>
      </c>
      <c r="M7" s="812"/>
      <c r="N7" s="812"/>
      <c r="Q7" s="812" t="s">
        <v>1129</v>
      </c>
      <c r="R7" s="812"/>
      <c r="S7" s="812"/>
      <c r="V7" s="812" t="s">
        <v>1129</v>
      </c>
      <c r="W7" s="812"/>
      <c r="X7" s="812"/>
      <c r="AA7" s="812" t="s">
        <v>1129</v>
      </c>
      <c r="AB7" s="812"/>
      <c r="AC7" s="812"/>
    </row>
    <row r="8" spans="1:32" ht="29" x14ac:dyDescent="0.35">
      <c r="D8" s="813" t="s">
        <v>1130</v>
      </c>
      <c r="E8" s="815" t="s">
        <v>892</v>
      </c>
      <c r="F8" s="815" t="s">
        <v>892</v>
      </c>
      <c r="G8" s="815" t="s">
        <v>892</v>
      </c>
      <c r="H8" s="815" t="s">
        <v>892</v>
      </c>
      <c r="I8" s="815" t="s">
        <v>892</v>
      </c>
      <c r="J8" s="815" t="s">
        <v>892</v>
      </c>
      <c r="K8" s="816" t="s">
        <v>1131</v>
      </c>
      <c r="L8" s="815" t="s">
        <v>1132</v>
      </c>
      <c r="M8" s="815" t="s">
        <v>1132</v>
      </c>
      <c r="N8" s="815" t="s">
        <v>1132</v>
      </c>
      <c r="O8" s="815" t="s">
        <v>1132</v>
      </c>
      <c r="P8" s="816" t="s">
        <v>1132</v>
      </c>
      <c r="Q8" s="814" t="s">
        <v>891</v>
      </c>
      <c r="R8" s="814"/>
      <c r="S8" s="814"/>
      <c r="T8" s="815" t="s">
        <v>891</v>
      </c>
      <c r="U8" s="816" t="s">
        <v>891</v>
      </c>
      <c r="V8" s="815" t="s">
        <v>1133</v>
      </c>
      <c r="W8" s="815" t="s">
        <v>1133</v>
      </c>
      <c r="X8" s="815" t="s">
        <v>1133</v>
      </c>
      <c r="Y8" s="815" t="s">
        <v>1133</v>
      </c>
      <c r="Z8" s="816" t="s">
        <v>1133</v>
      </c>
      <c r="AA8" s="815" t="s">
        <v>1134</v>
      </c>
      <c r="AB8" s="815" t="s">
        <v>1134</v>
      </c>
      <c r="AC8" s="815" t="s">
        <v>1134</v>
      </c>
      <c r="AD8" s="815" t="s">
        <v>1134</v>
      </c>
      <c r="AE8" s="816" t="s">
        <v>1134</v>
      </c>
    </row>
    <row r="9" spans="1:32" x14ac:dyDescent="0.35">
      <c r="B9" s="817" t="s">
        <v>1135</v>
      </c>
      <c r="C9" s="817" t="s">
        <v>1136</v>
      </c>
      <c r="D9" s="818" t="s">
        <v>1137</v>
      </c>
      <c r="E9" s="123" t="s">
        <v>1275</v>
      </c>
      <c r="F9" s="123" t="s">
        <v>1038</v>
      </c>
      <c r="G9" s="123" t="s">
        <v>1138</v>
      </c>
      <c r="H9" s="123" t="s">
        <v>1140</v>
      </c>
      <c r="I9" s="123" t="s">
        <v>1140</v>
      </c>
      <c r="J9" s="123" t="s">
        <v>1141</v>
      </c>
      <c r="K9" s="818">
        <v>45107</v>
      </c>
      <c r="L9" s="123" t="s">
        <v>1275</v>
      </c>
      <c r="M9" s="123" t="s">
        <v>1142</v>
      </c>
      <c r="N9" s="123" t="s">
        <v>1564</v>
      </c>
      <c r="O9" s="123" t="s">
        <v>1141</v>
      </c>
      <c r="P9" s="818">
        <v>45291</v>
      </c>
      <c r="Q9" s="123" t="s">
        <v>1140</v>
      </c>
      <c r="R9" s="123" t="s">
        <v>1142</v>
      </c>
      <c r="S9" s="123" t="s">
        <v>1140</v>
      </c>
      <c r="T9" s="123" t="s">
        <v>1141</v>
      </c>
      <c r="U9" s="818">
        <v>45657</v>
      </c>
      <c r="V9" s="123" t="s">
        <v>1140</v>
      </c>
      <c r="W9" s="123" t="s">
        <v>1564</v>
      </c>
      <c r="X9" s="123" t="s">
        <v>1140</v>
      </c>
      <c r="Y9" s="123" t="s">
        <v>1141</v>
      </c>
      <c r="Z9" s="818">
        <v>46022</v>
      </c>
      <c r="AA9" s="123" t="s">
        <v>1140</v>
      </c>
      <c r="AB9" s="123" t="s">
        <v>1142</v>
      </c>
      <c r="AC9" s="123" t="s">
        <v>1140</v>
      </c>
      <c r="AD9" s="123" t="s">
        <v>1141</v>
      </c>
      <c r="AE9" s="818">
        <v>46387</v>
      </c>
      <c r="AF9" s="124" t="s">
        <v>1143</v>
      </c>
    </row>
    <row r="10" spans="1:32" x14ac:dyDescent="0.35">
      <c r="D10" s="819"/>
      <c r="K10" s="819"/>
      <c r="P10" s="819"/>
      <c r="U10" s="819"/>
      <c r="Z10" s="819"/>
      <c r="AE10" s="819"/>
    </row>
    <row r="11" spans="1:32" x14ac:dyDescent="0.35">
      <c r="B11" s="268" t="s">
        <v>1144</v>
      </c>
      <c r="C11" s="820" t="s">
        <v>1145</v>
      </c>
      <c r="D11" s="821">
        <v>-35.32</v>
      </c>
      <c r="E11" s="758"/>
      <c r="F11" s="758"/>
      <c r="G11" s="758"/>
      <c r="H11" s="758"/>
      <c r="I11" s="758"/>
      <c r="J11" s="758">
        <f>SUM(E11:I11)</f>
        <v>0</v>
      </c>
      <c r="K11" s="821">
        <f>J11+D11</f>
        <v>-35.32</v>
      </c>
      <c r="L11" s="758"/>
      <c r="M11" s="758"/>
      <c r="N11" s="758"/>
      <c r="O11" s="758">
        <f t="shared" ref="O11:O46" si="18">SUM(L11:N11)</f>
        <v>0</v>
      </c>
      <c r="P11" s="821">
        <f t="shared" ref="P11:P46" si="19">O11+K11</f>
        <v>-35.32</v>
      </c>
      <c r="Q11" s="758"/>
      <c r="R11" s="758"/>
      <c r="S11" s="758"/>
      <c r="T11" s="758">
        <f>SUM(Q11:S11)</f>
        <v>0</v>
      </c>
      <c r="U11" s="821">
        <f>T11+P11</f>
        <v>-35.32</v>
      </c>
      <c r="V11" s="758"/>
      <c r="W11" s="758"/>
      <c r="X11" s="758"/>
      <c r="Y11" s="758">
        <f>SUM(V11:X11)</f>
        <v>0</v>
      </c>
      <c r="Z11" s="821">
        <f>Y11+U11</f>
        <v>-35.32</v>
      </c>
      <c r="AA11" s="758"/>
      <c r="AB11" s="758"/>
      <c r="AC11" s="758"/>
      <c r="AD11" s="758">
        <f>SUM(AA11:AC11)</f>
        <v>0</v>
      </c>
      <c r="AE11" s="821">
        <f>AD11+Z11</f>
        <v>-35.32</v>
      </c>
      <c r="AF11" s="822" t="s">
        <v>1146</v>
      </c>
    </row>
    <row r="12" spans="1:32" x14ac:dyDescent="0.35">
      <c r="B12" s="268" t="s">
        <v>1147</v>
      </c>
      <c r="C12" s="820" t="s">
        <v>1148</v>
      </c>
      <c r="D12" s="821">
        <v>187013.65</v>
      </c>
      <c r="E12" s="758"/>
      <c r="F12" s="758"/>
      <c r="G12" s="758"/>
      <c r="H12" s="758"/>
      <c r="I12" s="758"/>
      <c r="J12" s="758">
        <f t="shared" ref="J12:J46" si="20">SUM(E12:I12)</f>
        <v>0</v>
      </c>
      <c r="K12" s="821">
        <f t="shared" ref="K12:K46" si="21">J12+D12</f>
        <v>187013.65</v>
      </c>
      <c r="L12" s="758"/>
      <c r="M12" s="758"/>
      <c r="N12" s="758"/>
      <c r="O12" s="758">
        <f t="shared" si="18"/>
        <v>0</v>
      </c>
      <c r="P12" s="821">
        <f t="shared" si="19"/>
        <v>187013.65</v>
      </c>
      <c r="Q12" s="758"/>
      <c r="R12" s="758"/>
      <c r="S12" s="758"/>
      <c r="T12" s="758">
        <f t="shared" ref="T12:T46" si="22">SUM(Q12:S12)</f>
        <v>0</v>
      </c>
      <c r="U12" s="821">
        <f t="shared" ref="U12:U46" si="23">T12+P12</f>
        <v>187013.65</v>
      </c>
      <c r="V12" s="758"/>
      <c r="W12" s="758"/>
      <c r="X12" s="758"/>
      <c r="Y12" s="758">
        <f t="shared" ref="Y12:Y46" si="24">SUM(V12:X12)</f>
        <v>0</v>
      </c>
      <c r="Z12" s="821">
        <f t="shared" ref="Z12:Z46" si="25">Y12+U12</f>
        <v>187013.65</v>
      </c>
      <c r="AA12" s="758"/>
      <c r="AB12" s="758"/>
      <c r="AC12" s="758"/>
      <c r="AD12" s="758">
        <f t="shared" ref="AD12:AD46" si="26">SUM(AA12:AC12)</f>
        <v>0</v>
      </c>
      <c r="AE12" s="821">
        <f t="shared" ref="AE12:AE46" si="27">AD12+Z12</f>
        <v>187013.65</v>
      </c>
      <c r="AF12" s="822" t="s">
        <v>1146</v>
      </c>
    </row>
    <row r="13" spans="1:32" x14ac:dyDescent="0.35">
      <c r="B13" s="268" t="s">
        <v>1149</v>
      </c>
      <c r="C13" s="820" t="s">
        <v>1150</v>
      </c>
      <c r="D13" s="821">
        <v>3034.99</v>
      </c>
      <c r="E13" s="758"/>
      <c r="F13" s="758"/>
      <c r="G13" s="758"/>
      <c r="H13" s="758"/>
      <c r="I13" s="758"/>
      <c r="J13" s="758">
        <f t="shared" si="20"/>
        <v>0</v>
      </c>
      <c r="K13" s="821">
        <f t="shared" si="21"/>
        <v>3034.99</v>
      </c>
      <c r="L13" s="758"/>
      <c r="M13" s="758"/>
      <c r="N13" s="758"/>
      <c r="O13" s="758">
        <f t="shared" si="18"/>
        <v>0</v>
      </c>
      <c r="P13" s="821">
        <f t="shared" si="19"/>
        <v>3034.99</v>
      </c>
      <c r="Q13" s="758"/>
      <c r="R13" s="758"/>
      <c r="S13" s="758"/>
      <c r="T13" s="758">
        <f t="shared" si="22"/>
        <v>0</v>
      </c>
      <c r="U13" s="821">
        <f t="shared" si="23"/>
        <v>3034.99</v>
      </c>
      <c r="V13" s="758"/>
      <c r="W13" s="758"/>
      <c r="X13" s="758"/>
      <c r="Y13" s="758">
        <f t="shared" si="24"/>
        <v>0</v>
      </c>
      <c r="Z13" s="821">
        <f t="shared" si="25"/>
        <v>3034.99</v>
      </c>
      <c r="AA13" s="758"/>
      <c r="AB13" s="758"/>
      <c r="AC13" s="758"/>
      <c r="AD13" s="758">
        <f t="shared" si="26"/>
        <v>0</v>
      </c>
      <c r="AE13" s="821">
        <f t="shared" si="27"/>
        <v>3034.99</v>
      </c>
      <c r="AF13" s="822" t="s">
        <v>1146</v>
      </c>
    </row>
    <row r="14" spans="1:32" x14ac:dyDescent="0.35">
      <c r="B14" s="268" t="s">
        <v>1151</v>
      </c>
      <c r="C14" s="820" t="s">
        <v>1152</v>
      </c>
      <c r="D14" s="821">
        <v>-143</v>
      </c>
      <c r="E14" s="758"/>
      <c r="F14" s="758"/>
      <c r="G14" s="758"/>
      <c r="H14" s="758"/>
      <c r="I14" s="758"/>
      <c r="J14" s="758">
        <f t="shared" si="20"/>
        <v>0</v>
      </c>
      <c r="K14" s="821">
        <f t="shared" si="21"/>
        <v>-143</v>
      </c>
      <c r="L14" s="758"/>
      <c r="M14" s="758"/>
      <c r="N14" s="758"/>
      <c r="O14" s="758">
        <f t="shared" si="18"/>
        <v>0</v>
      </c>
      <c r="P14" s="821">
        <f t="shared" si="19"/>
        <v>-143</v>
      </c>
      <c r="Q14" s="758"/>
      <c r="R14" s="758"/>
      <c r="S14" s="758"/>
      <c r="T14" s="758">
        <f t="shared" si="22"/>
        <v>0</v>
      </c>
      <c r="U14" s="821">
        <f t="shared" si="23"/>
        <v>-143</v>
      </c>
      <c r="V14" s="758"/>
      <c r="W14" s="758"/>
      <c r="X14" s="758"/>
      <c r="Y14" s="758">
        <f t="shared" si="24"/>
        <v>0</v>
      </c>
      <c r="Z14" s="821">
        <f t="shared" si="25"/>
        <v>-143</v>
      </c>
      <c r="AA14" s="758"/>
      <c r="AB14" s="758"/>
      <c r="AC14" s="758"/>
      <c r="AD14" s="758">
        <f t="shared" si="26"/>
        <v>0</v>
      </c>
      <c r="AE14" s="821">
        <f t="shared" si="27"/>
        <v>-143</v>
      </c>
      <c r="AF14" s="822" t="s">
        <v>1146</v>
      </c>
    </row>
    <row r="15" spans="1:32" x14ac:dyDescent="0.35">
      <c r="B15" s="268" t="s">
        <v>1153</v>
      </c>
      <c r="C15" s="820" t="s">
        <v>1154</v>
      </c>
      <c r="D15" s="821">
        <v>268400</v>
      </c>
      <c r="E15" s="758"/>
      <c r="F15" s="758"/>
      <c r="G15" s="758"/>
      <c r="H15" s="758"/>
      <c r="I15" s="758"/>
      <c r="J15" s="758">
        <f t="shared" si="20"/>
        <v>0</v>
      </c>
      <c r="K15" s="821">
        <f t="shared" si="21"/>
        <v>268400</v>
      </c>
      <c r="L15" s="758"/>
      <c r="M15" s="758"/>
      <c r="N15" s="758"/>
      <c r="O15" s="758">
        <f t="shared" si="18"/>
        <v>0</v>
      </c>
      <c r="P15" s="821">
        <f t="shared" si="19"/>
        <v>268400</v>
      </c>
      <c r="Q15" s="758"/>
      <c r="R15" s="758"/>
      <c r="S15" s="758"/>
      <c r="T15" s="758">
        <f t="shared" si="22"/>
        <v>0</v>
      </c>
      <c r="U15" s="821">
        <f t="shared" si="23"/>
        <v>268400</v>
      </c>
      <c r="V15" s="758"/>
      <c r="W15" s="758"/>
      <c r="X15" s="758"/>
      <c r="Y15" s="758">
        <f t="shared" si="24"/>
        <v>0</v>
      </c>
      <c r="Z15" s="821">
        <f t="shared" si="25"/>
        <v>268400</v>
      </c>
      <c r="AA15" s="758"/>
      <c r="AB15" s="758"/>
      <c r="AC15" s="758"/>
      <c r="AD15" s="758">
        <f t="shared" si="26"/>
        <v>0</v>
      </c>
      <c r="AE15" s="821">
        <f t="shared" si="27"/>
        <v>268400</v>
      </c>
      <c r="AF15" s="822" t="s">
        <v>1146</v>
      </c>
    </row>
    <row r="16" spans="1:32" x14ac:dyDescent="0.35">
      <c r="B16" s="268" t="s">
        <v>1155</v>
      </c>
      <c r="C16" s="820" t="s">
        <v>1156</v>
      </c>
      <c r="D16" s="821">
        <v>362243.29</v>
      </c>
      <c r="E16" s="758"/>
      <c r="F16" s="758"/>
      <c r="G16" s="758"/>
      <c r="H16" s="758"/>
      <c r="I16" s="758"/>
      <c r="J16" s="758">
        <f t="shared" si="20"/>
        <v>0</v>
      </c>
      <c r="K16" s="821">
        <f t="shared" si="21"/>
        <v>362243.29</v>
      </c>
      <c r="L16" s="758"/>
      <c r="M16" s="758"/>
      <c r="N16" s="758"/>
      <c r="O16" s="758">
        <f t="shared" si="18"/>
        <v>0</v>
      </c>
      <c r="P16" s="821">
        <f t="shared" si="19"/>
        <v>362243.29</v>
      </c>
      <c r="Q16" s="758"/>
      <c r="R16" s="758"/>
      <c r="S16" s="758"/>
      <c r="T16" s="758">
        <f t="shared" si="22"/>
        <v>0</v>
      </c>
      <c r="U16" s="821">
        <f t="shared" si="23"/>
        <v>362243.29</v>
      </c>
      <c r="V16" s="758"/>
      <c r="W16" s="758"/>
      <c r="X16" s="758"/>
      <c r="Y16" s="758">
        <f t="shared" si="24"/>
        <v>0</v>
      </c>
      <c r="Z16" s="821">
        <f t="shared" si="25"/>
        <v>362243.29</v>
      </c>
      <c r="AA16" s="758"/>
      <c r="AB16" s="758"/>
      <c r="AC16" s="758"/>
      <c r="AD16" s="758">
        <f t="shared" si="26"/>
        <v>0</v>
      </c>
      <c r="AE16" s="821">
        <f t="shared" si="27"/>
        <v>362243.29</v>
      </c>
      <c r="AF16" s="822" t="s">
        <v>1146</v>
      </c>
    </row>
    <row r="17" spans="2:32" x14ac:dyDescent="0.35">
      <c r="B17" s="268" t="s">
        <v>1157</v>
      </c>
      <c r="C17" s="820" t="s">
        <v>1158</v>
      </c>
      <c r="D17" s="821">
        <v>1125132.8999999999</v>
      </c>
      <c r="E17" s="758"/>
      <c r="F17" s="758"/>
      <c r="G17" s="758"/>
      <c r="H17" s="758"/>
      <c r="I17" s="758"/>
      <c r="J17" s="758">
        <f t="shared" si="20"/>
        <v>0</v>
      </c>
      <c r="K17" s="821">
        <f t="shared" si="21"/>
        <v>1125132.8999999999</v>
      </c>
      <c r="L17" s="758"/>
      <c r="M17" s="758"/>
      <c r="N17" s="758"/>
      <c r="O17" s="758">
        <f t="shared" si="18"/>
        <v>0</v>
      </c>
      <c r="P17" s="821">
        <f t="shared" si="19"/>
        <v>1125132.8999999999</v>
      </c>
      <c r="Q17" s="758"/>
      <c r="R17" s="758"/>
      <c r="S17" s="758"/>
      <c r="T17" s="758">
        <f t="shared" si="22"/>
        <v>0</v>
      </c>
      <c r="U17" s="821">
        <f t="shared" si="23"/>
        <v>1125132.8999999999</v>
      </c>
      <c r="V17" s="758"/>
      <c r="W17" s="758"/>
      <c r="X17" s="758"/>
      <c r="Y17" s="758">
        <f t="shared" si="24"/>
        <v>0</v>
      </c>
      <c r="Z17" s="821">
        <f t="shared" si="25"/>
        <v>1125132.8999999999</v>
      </c>
      <c r="AA17" s="758"/>
      <c r="AB17" s="758"/>
      <c r="AC17" s="758"/>
      <c r="AD17" s="758">
        <f t="shared" si="26"/>
        <v>0</v>
      </c>
      <c r="AE17" s="821">
        <f t="shared" si="27"/>
        <v>1125132.8999999999</v>
      </c>
      <c r="AF17" s="822" t="s">
        <v>1146</v>
      </c>
    </row>
    <row r="18" spans="2:32" x14ac:dyDescent="0.35">
      <c r="B18" s="268" t="s">
        <v>1159</v>
      </c>
      <c r="C18" s="820" t="s">
        <v>1160</v>
      </c>
      <c r="D18" s="821">
        <v>-70585.41</v>
      </c>
      <c r="E18" s="758"/>
      <c r="F18" s="758"/>
      <c r="G18" s="758"/>
      <c r="H18" s="758"/>
      <c r="I18" s="758"/>
      <c r="J18" s="758">
        <f t="shared" si="20"/>
        <v>0</v>
      </c>
      <c r="K18" s="821">
        <f t="shared" si="21"/>
        <v>-70585.41</v>
      </c>
      <c r="L18" s="758"/>
      <c r="M18" s="758"/>
      <c r="N18" s="758"/>
      <c r="O18" s="758">
        <f t="shared" si="18"/>
        <v>0</v>
      </c>
      <c r="P18" s="821">
        <f t="shared" si="19"/>
        <v>-70585.41</v>
      </c>
      <c r="Q18" s="758"/>
      <c r="R18" s="758"/>
      <c r="S18" s="758"/>
      <c r="T18" s="758">
        <f t="shared" si="22"/>
        <v>0</v>
      </c>
      <c r="U18" s="821">
        <f t="shared" si="23"/>
        <v>-70585.41</v>
      </c>
      <c r="V18" s="758"/>
      <c r="W18" s="758"/>
      <c r="X18" s="758"/>
      <c r="Y18" s="758">
        <f t="shared" si="24"/>
        <v>0</v>
      </c>
      <c r="Z18" s="821">
        <f t="shared" si="25"/>
        <v>-70585.41</v>
      </c>
      <c r="AA18" s="758"/>
      <c r="AB18" s="758"/>
      <c r="AC18" s="758"/>
      <c r="AD18" s="758">
        <f t="shared" si="26"/>
        <v>0</v>
      </c>
      <c r="AE18" s="821">
        <f t="shared" si="27"/>
        <v>-70585.41</v>
      </c>
      <c r="AF18" s="822" t="s">
        <v>1146</v>
      </c>
    </row>
    <row r="19" spans="2:32" x14ac:dyDescent="0.35">
      <c r="B19" s="268" t="s">
        <v>1161</v>
      </c>
      <c r="C19" s="820" t="s">
        <v>1162</v>
      </c>
      <c r="D19" s="823">
        <v>1492651.86</v>
      </c>
      <c r="E19" s="823">
        <f>-D19</f>
        <v>-1492651.86</v>
      </c>
      <c r="F19" s="823"/>
      <c r="G19" s="823"/>
      <c r="H19" s="823"/>
      <c r="I19" s="823"/>
      <c r="J19" s="823">
        <f t="shared" si="20"/>
        <v>-1492651.86</v>
      </c>
      <c r="K19" s="823">
        <f t="shared" si="21"/>
        <v>0</v>
      </c>
      <c r="L19" s="823"/>
      <c r="M19" s="823"/>
      <c r="N19" s="823"/>
      <c r="O19" s="823">
        <f t="shared" si="18"/>
        <v>0</v>
      </c>
      <c r="P19" s="823">
        <f t="shared" si="19"/>
        <v>0</v>
      </c>
      <c r="Q19" s="823"/>
      <c r="R19" s="823"/>
      <c r="S19" s="823"/>
      <c r="T19" s="823">
        <f t="shared" si="22"/>
        <v>0</v>
      </c>
      <c r="U19" s="823">
        <f t="shared" si="23"/>
        <v>0</v>
      </c>
      <c r="V19" s="823"/>
      <c r="W19" s="823"/>
      <c r="X19" s="823"/>
      <c r="Y19" s="823">
        <f t="shared" si="24"/>
        <v>0</v>
      </c>
      <c r="Z19" s="823">
        <f t="shared" si="25"/>
        <v>0</v>
      </c>
      <c r="AA19" s="823"/>
      <c r="AB19" s="823"/>
      <c r="AC19" s="823"/>
      <c r="AD19" s="823">
        <f t="shared" si="26"/>
        <v>0</v>
      </c>
      <c r="AE19" s="823">
        <f t="shared" si="27"/>
        <v>0</v>
      </c>
      <c r="AF19" s="822" t="s">
        <v>1163</v>
      </c>
    </row>
    <row r="20" spans="2:32" x14ac:dyDescent="0.35">
      <c r="B20" s="268" t="s">
        <v>1165</v>
      </c>
      <c r="C20" s="820" t="s">
        <v>1166</v>
      </c>
      <c r="D20" s="823">
        <v>1169092.02</v>
      </c>
      <c r="E20" s="823">
        <f>-D20</f>
        <v>-1169092.02</v>
      </c>
      <c r="F20" s="823"/>
      <c r="G20" s="823"/>
      <c r="H20" s="823"/>
      <c r="I20" s="823"/>
      <c r="J20" s="823">
        <f t="shared" si="20"/>
        <v>-1169092.02</v>
      </c>
      <c r="K20" s="823">
        <f t="shared" si="21"/>
        <v>0</v>
      </c>
      <c r="L20" s="823"/>
      <c r="M20" s="823"/>
      <c r="N20" s="823"/>
      <c r="O20" s="823">
        <f t="shared" si="18"/>
        <v>0</v>
      </c>
      <c r="P20" s="823">
        <f t="shared" si="19"/>
        <v>0</v>
      </c>
      <c r="Q20" s="823"/>
      <c r="R20" s="823"/>
      <c r="S20" s="823"/>
      <c r="T20" s="823">
        <f t="shared" si="22"/>
        <v>0</v>
      </c>
      <c r="U20" s="823">
        <f t="shared" si="23"/>
        <v>0</v>
      </c>
      <c r="V20" s="823"/>
      <c r="W20" s="823"/>
      <c r="X20" s="823"/>
      <c r="Y20" s="823">
        <f t="shared" si="24"/>
        <v>0</v>
      </c>
      <c r="Z20" s="823">
        <f t="shared" si="25"/>
        <v>0</v>
      </c>
      <c r="AA20" s="823"/>
      <c r="AB20" s="823"/>
      <c r="AC20" s="823"/>
      <c r="AD20" s="823">
        <f t="shared" si="26"/>
        <v>0</v>
      </c>
      <c r="AE20" s="823">
        <f t="shared" si="27"/>
        <v>0</v>
      </c>
      <c r="AF20" s="822" t="s">
        <v>1167</v>
      </c>
    </row>
    <row r="21" spans="2:32" x14ac:dyDescent="0.35">
      <c r="B21" s="268" t="s">
        <v>1168</v>
      </c>
      <c r="C21" s="820" t="s">
        <v>1169</v>
      </c>
      <c r="D21" s="821">
        <v>374.35</v>
      </c>
      <c r="E21" s="758">
        <f>-D21</f>
        <v>-374.35</v>
      </c>
      <c r="F21" s="892"/>
      <c r="G21" s="758"/>
      <c r="H21" s="758"/>
      <c r="I21" s="758"/>
      <c r="J21" s="758">
        <f t="shared" si="20"/>
        <v>-374.35</v>
      </c>
      <c r="K21" s="821">
        <f t="shared" si="21"/>
        <v>0</v>
      </c>
      <c r="L21" s="758"/>
      <c r="M21" s="758"/>
      <c r="N21" s="758"/>
      <c r="O21" s="758">
        <f t="shared" si="18"/>
        <v>0</v>
      </c>
      <c r="P21" s="821">
        <f t="shared" si="19"/>
        <v>0</v>
      </c>
      <c r="Q21" s="758"/>
      <c r="R21" s="758"/>
      <c r="S21" s="758"/>
      <c r="T21" s="758">
        <f t="shared" si="22"/>
        <v>0</v>
      </c>
      <c r="U21" s="821">
        <f t="shared" si="23"/>
        <v>0</v>
      </c>
      <c r="V21" s="758"/>
      <c r="W21" s="758"/>
      <c r="X21" s="758"/>
      <c r="Y21" s="758">
        <f t="shared" si="24"/>
        <v>0</v>
      </c>
      <c r="Z21" s="821">
        <f t="shared" si="25"/>
        <v>0</v>
      </c>
      <c r="AA21" s="758"/>
      <c r="AB21" s="758"/>
      <c r="AC21" s="758"/>
      <c r="AD21" s="758">
        <f t="shared" si="26"/>
        <v>0</v>
      </c>
      <c r="AE21" s="821">
        <f t="shared" si="27"/>
        <v>0</v>
      </c>
      <c r="AF21" s="822" t="s">
        <v>1768</v>
      </c>
    </row>
    <row r="22" spans="2:32" x14ac:dyDescent="0.35">
      <c r="B22" s="268" t="s">
        <v>1170</v>
      </c>
      <c r="C22" s="820" t="s">
        <v>1171</v>
      </c>
      <c r="D22" s="821">
        <v>840</v>
      </c>
      <c r="E22" s="758"/>
      <c r="F22" s="758"/>
      <c r="G22" s="758"/>
      <c r="H22" s="758"/>
      <c r="I22" s="758"/>
      <c r="J22" s="758">
        <f t="shared" si="20"/>
        <v>0</v>
      </c>
      <c r="K22" s="821">
        <f t="shared" si="21"/>
        <v>840</v>
      </c>
      <c r="L22" s="758"/>
      <c r="M22" s="758"/>
      <c r="N22" s="758"/>
      <c r="O22" s="758">
        <f t="shared" si="18"/>
        <v>0</v>
      </c>
      <c r="P22" s="821">
        <f t="shared" si="19"/>
        <v>840</v>
      </c>
      <c r="Q22" s="758"/>
      <c r="R22" s="758"/>
      <c r="S22" s="758"/>
      <c r="T22" s="758">
        <f t="shared" si="22"/>
        <v>0</v>
      </c>
      <c r="U22" s="821">
        <f t="shared" si="23"/>
        <v>840</v>
      </c>
      <c r="V22" s="758"/>
      <c r="W22" s="758"/>
      <c r="X22" s="758"/>
      <c r="Y22" s="758">
        <f t="shared" si="24"/>
        <v>0</v>
      </c>
      <c r="Z22" s="821">
        <f t="shared" si="25"/>
        <v>840</v>
      </c>
      <c r="AA22" s="758"/>
      <c r="AB22" s="758"/>
      <c r="AC22" s="758"/>
      <c r="AD22" s="758">
        <f t="shared" si="26"/>
        <v>0</v>
      </c>
      <c r="AE22" s="821">
        <f t="shared" si="27"/>
        <v>840</v>
      </c>
      <c r="AF22" s="822" t="s">
        <v>1146</v>
      </c>
    </row>
    <row r="23" spans="2:32" x14ac:dyDescent="0.35">
      <c r="B23" s="268" t="s">
        <v>1172</v>
      </c>
      <c r="C23" s="820" t="s">
        <v>1173</v>
      </c>
      <c r="D23" s="821">
        <v>24399.49</v>
      </c>
      <c r="E23" s="758"/>
      <c r="F23" s="758"/>
      <c r="G23" s="758"/>
      <c r="H23" s="758"/>
      <c r="I23" s="758"/>
      <c r="J23" s="758">
        <f t="shared" si="20"/>
        <v>0</v>
      </c>
      <c r="K23" s="821">
        <f t="shared" si="21"/>
        <v>24399.49</v>
      </c>
      <c r="L23" s="758">
        <f>-K23</f>
        <v>-24399.49</v>
      </c>
      <c r="M23" s="758"/>
      <c r="N23" s="758"/>
      <c r="O23" s="758">
        <f t="shared" si="18"/>
        <v>-24399.49</v>
      </c>
      <c r="P23" s="821">
        <f t="shared" si="19"/>
        <v>0</v>
      </c>
      <c r="Q23" s="758"/>
      <c r="R23" s="758"/>
      <c r="S23" s="758"/>
      <c r="T23" s="758">
        <f t="shared" si="22"/>
        <v>0</v>
      </c>
      <c r="U23" s="821">
        <f t="shared" si="23"/>
        <v>0</v>
      </c>
      <c r="V23" s="758"/>
      <c r="W23" s="758"/>
      <c r="X23" s="758"/>
      <c r="Y23" s="758">
        <f t="shared" si="24"/>
        <v>0</v>
      </c>
      <c r="Z23" s="821">
        <f t="shared" si="25"/>
        <v>0</v>
      </c>
      <c r="AA23" s="758"/>
      <c r="AB23" s="758"/>
      <c r="AC23" s="758"/>
      <c r="AD23" s="758">
        <f t="shared" si="26"/>
        <v>0</v>
      </c>
      <c r="AE23" s="821">
        <f t="shared" si="27"/>
        <v>0</v>
      </c>
      <c r="AF23" s="822" t="s">
        <v>1768</v>
      </c>
    </row>
    <row r="24" spans="2:32" x14ac:dyDescent="0.35">
      <c r="B24" s="268" t="s">
        <v>1174</v>
      </c>
      <c r="C24" s="820" t="s">
        <v>1175</v>
      </c>
      <c r="D24" s="821">
        <v>4589.09</v>
      </c>
      <c r="E24" s="758"/>
      <c r="F24" s="758"/>
      <c r="G24" s="758"/>
      <c r="H24" s="758"/>
      <c r="I24" s="758"/>
      <c r="J24" s="758">
        <f t="shared" si="20"/>
        <v>0</v>
      </c>
      <c r="K24" s="821">
        <f t="shared" si="21"/>
        <v>4589.09</v>
      </c>
      <c r="L24" s="758"/>
      <c r="M24" s="758"/>
      <c r="N24" s="758"/>
      <c r="O24" s="758">
        <f t="shared" si="18"/>
        <v>0</v>
      </c>
      <c r="P24" s="821">
        <f t="shared" si="19"/>
        <v>4589.09</v>
      </c>
      <c r="Q24" s="758"/>
      <c r="R24" s="758"/>
      <c r="S24" s="758"/>
      <c r="T24" s="758">
        <f t="shared" si="22"/>
        <v>0</v>
      </c>
      <c r="U24" s="821">
        <f t="shared" si="23"/>
        <v>4589.09</v>
      </c>
      <c r="V24" s="758"/>
      <c r="W24" s="758"/>
      <c r="X24" s="758"/>
      <c r="Y24" s="758">
        <f t="shared" si="24"/>
        <v>0</v>
      </c>
      <c r="Z24" s="821">
        <f t="shared" si="25"/>
        <v>4589.09</v>
      </c>
      <c r="AA24" s="758"/>
      <c r="AB24" s="758"/>
      <c r="AC24" s="758"/>
      <c r="AD24" s="758">
        <f t="shared" si="26"/>
        <v>0</v>
      </c>
      <c r="AE24" s="821">
        <f t="shared" si="27"/>
        <v>4589.09</v>
      </c>
      <c r="AF24" s="822" t="s">
        <v>1146</v>
      </c>
    </row>
    <row r="25" spans="2:32" x14ac:dyDescent="0.35">
      <c r="B25" s="268" t="s">
        <v>1176</v>
      </c>
      <c r="C25" s="820" t="s">
        <v>1177</v>
      </c>
      <c r="D25" s="821">
        <v>336.33</v>
      </c>
      <c r="E25" s="758"/>
      <c r="F25" s="758"/>
      <c r="G25" s="758"/>
      <c r="H25" s="758"/>
      <c r="I25" s="758"/>
      <c r="J25" s="758">
        <f t="shared" si="20"/>
        <v>0</v>
      </c>
      <c r="K25" s="821">
        <f t="shared" si="21"/>
        <v>336.33</v>
      </c>
      <c r="L25" s="758">
        <f>-K25</f>
        <v>-336.33</v>
      </c>
      <c r="M25" s="758"/>
      <c r="N25" s="758"/>
      <c r="O25" s="758">
        <f t="shared" si="18"/>
        <v>-336.33</v>
      </c>
      <c r="P25" s="821">
        <f t="shared" si="19"/>
        <v>0</v>
      </c>
      <c r="Q25" s="758"/>
      <c r="R25" s="758"/>
      <c r="S25" s="758"/>
      <c r="T25" s="758">
        <f t="shared" si="22"/>
        <v>0</v>
      </c>
      <c r="U25" s="821">
        <f t="shared" si="23"/>
        <v>0</v>
      </c>
      <c r="V25" s="758"/>
      <c r="W25" s="758"/>
      <c r="X25" s="758"/>
      <c r="Y25" s="758">
        <f t="shared" si="24"/>
        <v>0</v>
      </c>
      <c r="Z25" s="821">
        <f t="shared" si="25"/>
        <v>0</v>
      </c>
      <c r="AA25" s="758"/>
      <c r="AB25" s="758"/>
      <c r="AC25" s="758"/>
      <c r="AD25" s="758">
        <f t="shared" si="26"/>
        <v>0</v>
      </c>
      <c r="AE25" s="821">
        <f t="shared" si="27"/>
        <v>0</v>
      </c>
      <c r="AF25" s="822" t="s">
        <v>1146</v>
      </c>
    </row>
    <row r="26" spans="2:32" x14ac:dyDescent="0.35">
      <c r="B26" s="268" t="s">
        <v>1178</v>
      </c>
      <c r="C26" s="820" t="s">
        <v>1179</v>
      </c>
      <c r="D26" s="823">
        <v>-1270884.8999999999</v>
      </c>
      <c r="E26" s="823">
        <f>-D26</f>
        <v>1270884.8999999999</v>
      </c>
      <c r="F26" s="823"/>
      <c r="G26" s="823"/>
      <c r="H26" s="823"/>
      <c r="I26" s="823"/>
      <c r="J26" s="823">
        <f t="shared" si="20"/>
        <v>1270884.8999999999</v>
      </c>
      <c r="K26" s="823">
        <f t="shared" si="21"/>
        <v>0</v>
      </c>
      <c r="L26" s="823"/>
      <c r="M26" s="823"/>
      <c r="N26" s="823"/>
      <c r="O26" s="823">
        <f t="shared" si="18"/>
        <v>0</v>
      </c>
      <c r="P26" s="823">
        <f t="shared" si="19"/>
        <v>0</v>
      </c>
      <c r="Q26" s="823"/>
      <c r="R26" s="823"/>
      <c r="S26" s="823"/>
      <c r="T26" s="823">
        <f t="shared" si="22"/>
        <v>0</v>
      </c>
      <c r="U26" s="823">
        <f t="shared" si="23"/>
        <v>0</v>
      </c>
      <c r="V26" s="823"/>
      <c r="W26" s="823"/>
      <c r="X26" s="823"/>
      <c r="Y26" s="823">
        <f t="shared" si="24"/>
        <v>0</v>
      </c>
      <c r="Z26" s="823">
        <f t="shared" si="25"/>
        <v>0</v>
      </c>
      <c r="AA26" s="823"/>
      <c r="AB26" s="823"/>
      <c r="AC26" s="823"/>
      <c r="AD26" s="823">
        <f t="shared" si="26"/>
        <v>0</v>
      </c>
      <c r="AE26" s="823">
        <f t="shared" si="27"/>
        <v>0</v>
      </c>
      <c r="AF26" s="822" t="s">
        <v>1180</v>
      </c>
    </row>
    <row r="27" spans="2:32" x14ac:dyDescent="0.35">
      <c r="B27" s="268" t="s">
        <v>1181</v>
      </c>
      <c r="C27" s="820" t="s">
        <v>1182</v>
      </c>
      <c r="D27" s="821">
        <v>-764669.87</v>
      </c>
      <c r="E27" s="758"/>
      <c r="F27" s="758">
        <f>-D27</f>
        <v>764669.87</v>
      </c>
      <c r="G27" s="758"/>
      <c r="H27" s="758"/>
      <c r="I27" s="758"/>
      <c r="J27" s="758">
        <f t="shared" si="20"/>
        <v>764669.87</v>
      </c>
      <c r="K27" s="821">
        <f t="shared" si="21"/>
        <v>0</v>
      </c>
      <c r="L27" s="758"/>
      <c r="M27" s="758"/>
      <c r="N27" s="758"/>
      <c r="O27" s="758">
        <f t="shared" si="18"/>
        <v>0</v>
      </c>
      <c r="P27" s="821">
        <f t="shared" si="19"/>
        <v>0</v>
      </c>
      <c r="Q27" s="758"/>
      <c r="R27" s="758"/>
      <c r="S27" s="758"/>
      <c r="T27" s="758">
        <f t="shared" si="22"/>
        <v>0</v>
      </c>
      <c r="U27" s="821">
        <f t="shared" si="23"/>
        <v>0</v>
      </c>
      <c r="V27" s="758"/>
      <c r="W27" s="758"/>
      <c r="X27" s="758"/>
      <c r="Y27" s="758">
        <f t="shared" si="24"/>
        <v>0</v>
      </c>
      <c r="Z27" s="821">
        <f t="shared" si="25"/>
        <v>0</v>
      </c>
      <c r="AA27" s="758"/>
      <c r="AB27" s="758"/>
      <c r="AC27" s="758"/>
      <c r="AD27" s="758">
        <f t="shared" si="26"/>
        <v>0</v>
      </c>
      <c r="AE27" s="821">
        <f t="shared" si="27"/>
        <v>0</v>
      </c>
      <c r="AF27" s="822" t="s">
        <v>1183</v>
      </c>
    </row>
    <row r="28" spans="2:32" x14ac:dyDescent="0.35">
      <c r="B28" s="268" t="s">
        <v>1184</v>
      </c>
      <c r="C28" s="820" t="s">
        <v>1185</v>
      </c>
      <c r="D28" s="821">
        <v>37446.160000000003</v>
      </c>
      <c r="E28" s="758"/>
      <c r="F28" s="758"/>
      <c r="G28" s="758"/>
      <c r="H28" s="758"/>
      <c r="I28" s="758"/>
      <c r="J28" s="758">
        <f t="shared" si="20"/>
        <v>0</v>
      </c>
      <c r="K28" s="821">
        <f t="shared" si="21"/>
        <v>37446.160000000003</v>
      </c>
      <c r="L28" s="758">
        <f>-K28</f>
        <v>-37446.160000000003</v>
      </c>
      <c r="M28" s="758"/>
      <c r="N28" s="758"/>
      <c r="O28" s="758">
        <f t="shared" si="18"/>
        <v>-37446.160000000003</v>
      </c>
      <c r="P28" s="821">
        <f t="shared" si="19"/>
        <v>0</v>
      </c>
      <c r="Q28" s="758"/>
      <c r="R28" s="758"/>
      <c r="S28" s="758"/>
      <c r="T28" s="758">
        <f t="shared" si="22"/>
        <v>0</v>
      </c>
      <c r="U28" s="821">
        <f t="shared" si="23"/>
        <v>0</v>
      </c>
      <c r="V28" s="758"/>
      <c r="W28" s="758"/>
      <c r="X28" s="758"/>
      <c r="Y28" s="758">
        <f t="shared" si="24"/>
        <v>0</v>
      </c>
      <c r="Z28" s="821">
        <f t="shared" si="25"/>
        <v>0</v>
      </c>
      <c r="AA28" s="758"/>
      <c r="AB28" s="758"/>
      <c r="AC28" s="758"/>
      <c r="AD28" s="758">
        <f t="shared" si="26"/>
        <v>0</v>
      </c>
      <c r="AE28" s="821">
        <f t="shared" si="27"/>
        <v>0</v>
      </c>
      <c r="AF28" s="822" t="s">
        <v>1768</v>
      </c>
    </row>
    <row r="29" spans="2:32" x14ac:dyDescent="0.35">
      <c r="B29" s="268" t="s">
        <v>1186</v>
      </c>
      <c r="C29" s="820" t="s">
        <v>1187</v>
      </c>
      <c r="D29" s="821">
        <v>265754.13</v>
      </c>
      <c r="E29" s="758"/>
      <c r="F29" s="758"/>
      <c r="G29" s="758"/>
      <c r="H29" s="758"/>
      <c r="I29" s="758"/>
      <c r="J29" s="758">
        <f t="shared" si="20"/>
        <v>0</v>
      </c>
      <c r="K29" s="821">
        <f t="shared" si="21"/>
        <v>265754.13</v>
      </c>
      <c r="L29" s="758">
        <f t="shared" ref="L29:L31" si="28">-K29</f>
        <v>-265754.13</v>
      </c>
      <c r="M29" s="758"/>
      <c r="N29" s="758"/>
      <c r="O29" s="758">
        <f t="shared" si="18"/>
        <v>-265754.13</v>
      </c>
      <c r="P29" s="821">
        <f t="shared" si="19"/>
        <v>0</v>
      </c>
      <c r="Q29" s="758"/>
      <c r="R29" s="758"/>
      <c r="S29" s="758"/>
      <c r="T29" s="758">
        <f t="shared" si="22"/>
        <v>0</v>
      </c>
      <c r="U29" s="821">
        <f t="shared" si="23"/>
        <v>0</v>
      </c>
      <c r="V29" s="758"/>
      <c r="W29" s="758"/>
      <c r="X29" s="758"/>
      <c r="Y29" s="758">
        <f t="shared" si="24"/>
        <v>0</v>
      </c>
      <c r="Z29" s="821">
        <f t="shared" si="25"/>
        <v>0</v>
      </c>
      <c r="AA29" s="758"/>
      <c r="AB29" s="758"/>
      <c r="AC29" s="758"/>
      <c r="AD29" s="758">
        <f t="shared" si="26"/>
        <v>0</v>
      </c>
      <c r="AE29" s="821">
        <f t="shared" si="27"/>
        <v>0</v>
      </c>
      <c r="AF29" s="822" t="s">
        <v>1768</v>
      </c>
    </row>
    <row r="30" spans="2:32" x14ac:dyDescent="0.35">
      <c r="B30" s="268" t="s">
        <v>1188</v>
      </c>
      <c r="C30" s="820" t="s">
        <v>1189</v>
      </c>
      <c r="D30" s="821">
        <v>3579.59</v>
      </c>
      <c r="E30" s="758"/>
      <c r="F30" s="758"/>
      <c r="G30" s="758"/>
      <c r="H30" s="758"/>
      <c r="I30" s="758"/>
      <c r="J30" s="758">
        <f t="shared" si="20"/>
        <v>0</v>
      </c>
      <c r="K30" s="821">
        <f t="shared" si="21"/>
        <v>3579.59</v>
      </c>
      <c r="L30" s="758">
        <f t="shared" si="28"/>
        <v>-3579.59</v>
      </c>
      <c r="M30" s="758"/>
      <c r="N30" s="758"/>
      <c r="O30" s="758">
        <f t="shared" si="18"/>
        <v>-3579.59</v>
      </c>
      <c r="P30" s="821">
        <f t="shared" si="19"/>
        <v>0</v>
      </c>
      <c r="Q30" s="758"/>
      <c r="R30" s="758"/>
      <c r="S30" s="758"/>
      <c r="T30" s="758">
        <f t="shared" si="22"/>
        <v>0</v>
      </c>
      <c r="U30" s="821">
        <f t="shared" si="23"/>
        <v>0</v>
      </c>
      <c r="V30" s="758"/>
      <c r="W30" s="758"/>
      <c r="X30" s="758"/>
      <c r="Y30" s="758">
        <f t="shared" si="24"/>
        <v>0</v>
      </c>
      <c r="Z30" s="821">
        <f t="shared" si="25"/>
        <v>0</v>
      </c>
      <c r="AA30" s="758"/>
      <c r="AB30" s="758"/>
      <c r="AC30" s="758"/>
      <c r="AD30" s="758">
        <f t="shared" si="26"/>
        <v>0</v>
      </c>
      <c r="AE30" s="821">
        <f t="shared" si="27"/>
        <v>0</v>
      </c>
      <c r="AF30" s="822" t="s">
        <v>1768</v>
      </c>
    </row>
    <row r="31" spans="2:32" x14ac:dyDescent="0.35">
      <c r="B31" s="268" t="s">
        <v>1190</v>
      </c>
      <c r="C31" s="820" t="s">
        <v>1191</v>
      </c>
      <c r="D31" s="821">
        <v>26145.05</v>
      </c>
      <c r="E31" s="758"/>
      <c r="F31" s="758"/>
      <c r="G31" s="758"/>
      <c r="H31" s="758"/>
      <c r="I31" s="758"/>
      <c r="J31" s="758">
        <f t="shared" si="20"/>
        <v>0</v>
      </c>
      <c r="K31" s="821">
        <f t="shared" si="21"/>
        <v>26145.05</v>
      </c>
      <c r="L31" s="758">
        <f t="shared" si="28"/>
        <v>-26145.05</v>
      </c>
      <c r="M31" s="758"/>
      <c r="N31" s="758"/>
      <c r="O31" s="758">
        <f t="shared" si="18"/>
        <v>-26145.05</v>
      </c>
      <c r="P31" s="821">
        <f t="shared" si="19"/>
        <v>0</v>
      </c>
      <c r="Q31" s="758"/>
      <c r="R31" s="758"/>
      <c r="S31" s="758"/>
      <c r="T31" s="758">
        <f t="shared" si="22"/>
        <v>0</v>
      </c>
      <c r="U31" s="821">
        <f t="shared" si="23"/>
        <v>0</v>
      </c>
      <c r="V31" s="758"/>
      <c r="W31" s="758"/>
      <c r="X31" s="758"/>
      <c r="Y31" s="758">
        <f t="shared" si="24"/>
        <v>0</v>
      </c>
      <c r="Z31" s="821">
        <f t="shared" si="25"/>
        <v>0</v>
      </c>
      <c r="AA31" s="758"/>
      <c r="AB31" s="758"/>
      <c r="AC31" s="758"/>
      <c r="AD31" s="758">
        <f t="shared" si="26"/>
        <v>0</v>
      </c>
      <c r="AE31" s="821">
        <f t="shared" si="27"/>
        <v>0</v>
      </c>
      <c r="AF31" s="822" t="s">
        <v>1768</v>
      </c>
    </row>
    <row r="32" spans="2:32" x14ac:dyDescent="0.35">
      <c r="B32" s="268" t="s">
        <v>1192</v>
      </c>
      <c r="C32" s="831" t="s">
        <v>1193</v>
      </c>
      <c r="D32" s="823">
        <v>-756339.68</v>
      </c>
      <c r="E32" s="823"/>
      <c r="F32" s="823"/>
      <c r="G32" s="823"/>
      <c r="H32" s="823"/>
      <c r="I32" s="823"/>
      <c r="J32" s="823">
        <f t="shared" si="20"/>
        <v>0</v>
      </c>
      <c r="K32" s="823">
        <f t="shared" si="21"/>
        <v>-756339.68</v>
      </c>
      <c r="L32" s="823"/>
      <c r="M32" s="823">
        <f>-'Gas Adj'!$CA$33</f>
        <v>-781550.98969929898</v>
      </c>
      <c r="N32" s="823"/>
      <c r="O32" s="823">
        <f t="shared" si="18"/>
        <v>-781550.98969929898</v>
      </c>
      <c r="P32" s="823">
        <f t="shared" si="19"/>
        <v>-1537890.6696992991</v>
      </c>
      <c r="Q32" s="823"/>
      <c r="R32" s="823">
        <f>-'Gas Adj'!$CC$33</f>
        <v>-25211.314849649556</v>
      </c>
      <c r="S32" s="823"/>
      <c r="T32" s="823">
        <f t="shared" si="22"/>
        <v>-25211.314849649556</v>
      </c>
      <c r="U32" s="823">
        <f t="shared" si="23"/>
        <v>-1563101.9845489487</v>
      </c>
      <c r="V32" s="823"/>
      <c r="W32" s="823">
        <f>-'Gas Adj'!$BM$39</f>
        <v>0</v>
      </c>
      <c r="X32" s="823"/>
      <c r="Y32" s="823">
        <f t="shared" si="24"/>
        <v>0</v>
      </c>
      <c r="Z32" s="823">
        <f t="shared" si="25"/>
        <v>-1563101.9845489487</v>
      </c>
      <c r="AA32" s="823"/>
      <c r="AB32" s="823">
        <f>-'Gas Adj'!$CG$33</f>
        <v>1537890.6645489514</v>
      </c>
      <c r="AC32" s="823"/>
      <c r="AD32" s="823">
        <f t="shared" si="26"/>
        <v>1537890.6645489514</v>
      </c>
      <c r="AE32" s="823">
        <f t="shared" si="27"/>
        <v>-25211.319999997271</v>
      </c>
      <c r="AF32" s="831" t="s">
        <v>1769</v>
      </c>
    </row>
    <row r="33" spans="1:33" x14ac:dyDescent="0.35">
      <c r="B33" s="268" t="s">
        <v>1194</v>
      </c>
      <c r="C33" s="831" t="s">
        <v>1195</v>
      </c>
      <c r="D33" s="823">
        <v>-537329.94999999995</v>
      </c>
      <c r="E33" s="823"/>
      <c r="F33" s="823"/>
      <c r="G33" s="823"/>
      <c r="H33" s="823"/>
      <c r="I33" s="823"/>
      <c r="J33" s="823">
        <f t="shared" si="20"/>
        <v>0</v>
      </c>
      <c r="K33" s="823">
        <f t="shared" si="21"/>
        <v>-537329.94999999995</v>
      </c>
      <c r="L33" s="823"/>
      <c r="M33" s="823">
        <f>-'Gas Adj'!$CA$36</f>
        <v>-555241.37859829003</v>
      </c>
      <c r="N33" s="823"/>
      <c r="O33" s="823">
        <f t="shared" si="18"/>
        <v>-555241.37859829003</v>
      </c>
      <c r="P33" s="823">
        <f t="shared" si="19"/>
        <v>-1092571.32859829</v>
      </c>
      <c r="Q33" s="823"/>
      <c r="R33" s="823">
        <f>-'Gas Adj'!$CC$36</f>
        <v>-17911.429299145238</v>
      </c>
      <c r="S33" s="823"/>
      <c r="T33" s="823">
        <f t="shared" si="22"/>
        <v>-17911.429299145238</v>
      </c>
      <c r="U33" s="823">
        <f t="shared" si="23"/>
        <v>-1110482.7578974352</v>
      </c>
      <c r="V33" s="823"/>
      <c r="W33" s="823"/>
      <c r="X33" s="823"/>
      <c r="Y33" s="823">
        <f t="shared" si="24"/>
        <v>0</v>
      </c>
      <c r="Z33" s="823">
        <f t="shared" si="25"/>
        <v>-1110482.7578974352</v>
      </c>
      <c r="AA33" s="823"/>
      <c r="AB33" s="823">
        <f>-'Gas Adj'!$CG$36</f>
        <v>1092571.7571965803</v>
      </c>
      <c r="AC33" s="823"/>
      <c r="AD33" s="823">
        <f t="shared" si="26"/>
        <v>1092571.7571965803</v>
      </c>
      <c r="AE33" s="823">
        <f t="shared" si="27"/>
        <v>-17911.000700854929</v>
      </c>
      <c r="AF33" s="831" t="s">
        <v>1769</v>
      </c>
    </row>
    <row r="34" spans="1:33" x14ac:dyDescent="0.35">
      <c r="B34" s="268" t="s">
        <v>1196</v>
      </c>
      <c r="C34" s="820" t="s">
        <v>1197</v>
      </c>
      <c r="D34" s="821">
        <v>9149.61</v>
      </c>
      <c r="E34" s="893"/>
      <c r="F34" s="758"/>
      <c r="G34" s="758"/>
      <c r="H34" s="758"/>
      <c r="I34" s="758"/>
      <c r="J34" s="758">
        <f t="shared" si="20"/>
        <v>0</v>
      </c>
      <c r="K34" s="821">
        <f t="shared" si="21"/>
        <v>9149.61</v>
      </c>
      <c r="L34" s="893"/>
      <c r="M34" s="758"/>
      <c r="N34" s="758"/>
      <c r="O34" s="758">
        <f t="shared" si="18"/>
        <v>0</v>
      </c>
      <c r="P34" s="821">
        <f t="shared" si="19"/>
        <v>9149.61</v>
      </c>
      <c r="Q34" s="758"/>
      <c r="R34" s="758"/>
      <c r="S34" s="758"/>
      <c r="T34" s="758">
        <f t="shared" si="22"/>
        <v>0</v>
      </c>
      <c r="U34" s="821">
        <f t="shared" si="23"/>
        <v>9149.61</v>
      </c>
      <c r="V34" s="758"/>
      <c r="W34" s="758"/>
      <c r="X34" s="758"/>
      <c r="Y34" s="758">
        <f t="shared" si="24"/>
        <v>0</v>
      </c>
      <c r="Z34" s="821">
        <f t="shared" si="25"/>
        <v>9149.61</v>
      </c>
      <c r="AA34" s="758"/>
      <c r="AB34" s="758"/>
      <c r="AC34" s="758"/>
      <c r="AD34" s="758">
        <f t="shared" si="26"/>
        <v>0</v>
      </c>
      <c r="AE34" s="821">
        <f t="shared" si="27"/>
        <v>9149.61</v>
      </c>
      <c r="AF34" s="822" t="s">
        <v>1146</v>
      </c>
    </row>
    <row r="35" spans="1:33" x14ac:dyDescent="0.35">
      <c r="B35" s="268" t="s">
        <v>1198</v>
      </c>
      <c r="C35" s="820" t="s">
        <v>1199</v>
      </c>
      <c r="D35" s="821">
        <v>170646.62</v>
      </c>
      <c r="E35" s="758"/>
      <c r="F35" s="758"/>
      <c r="G35" s="758"/>
      <c r="H35" s="758"/>
      <c r="I35" s="758"/>
      <c r="J35" s="758">
        <f t="shared" si="20"/>
        <v>0</v>
      </c>
      <c r="K35" s="821">
        <f t="shared" si="21"/>
        <v>170646.62</v>
      </c>
      <c r="L35" s="758"/>
      <c r="M35" s="758"/>
      <c r="N35" s="758"/>
      <c r="O35" s="758">
        <f t="shared" si="18"/>
        <v>0</v>
      </c>
      <c r="P35" s="821">
        <f t="shared" si="19"/>
        <v>170646.62</v>
      </c>
      <c r="Q35" s="758"/>
      <c r="R35" s="758"/>
      <c r="S35" s="758"/>
      <c r="T35" s="758">
        <f t="shared" si="22"/>
        <v>0</v>
      </c>
      <c r="U35" s="821">
        <f t="shared" si="23"/>
        <v>170646.62</v>
      </c>
      <c r="V35" s="758"/>
      <c r="W35" s="758"/>
      <c r="X35" s="758"/>
      <c r="Y35" s="758">
        <f t="shared" si="24"/>
        <v>0</v>
      </c>
      <c r="Z35" s="821">
        <f t="shared" si="25"/>
        <v>170646.62</v>
      </c>
      <c r="AA35" s="758"/>
      <c r="AB35" s="758"/>
      <c r="AC35" s="758"/>
      <c r="AD35" s="758">
        <f t="shared" si="26"/>
        <v>0</v>
      </c>
      <c r="AE35" s="821">
        <f t="shared" si="27"/>
        <v>170646.62</v>
      </c>
      <c r="AF35" s="822" t="s">
        <v>1146</v>
      </c>
    </row>
    <row r="36" spans="1:33" x14ac:dyDescent="0.35">
      <c r="B36" s="268" t="s">
        <v>1200</v>
      </c>
      <c r="C36" s="820" t="s">
        <v>1201</v>
      </c>
      <c r="D36" s="823">
        <v>-3413264.86</v>
      </c>
      <c r="E36" s="823"/>
      <c r="F36" s="823"/>
      <c r="G36" s="823"/>
      <c r="H36" s="823"/>
      <c r="I36" s="823"/>
      <c r="J36" s="823">
        <f t="shared" si="20"/>
        <v>0</v>
      </c>
      <c r="K36" s="823">
        <f t="shared" si="21"/>
        <v>-3413264.86</v>
      </c>
      <c r="L36" s="823">
        <f>-K36</f>
        <v>3413264.86</v>
      </c>
      <c r="M36" s="823"/>
      <c r="N36" s="823"/>
      <c r="O36" s="823">
        <f t="shared" si="18"/>
        <v>3413264.86</v>
      </c>
      <c r="P36" s="823">
        <f t="shared" si="19"/>
        <v>0</v>
      </c>
      <c r="Q36" s="823"/>
      <c r="R36" s="823"/>
      <c r="S36" s="823"/>
      <c r="T36" s="823">
        <f t="shared" si="22"/>
        <v>0</v>
      </c>
      <c r="U36" s="823">
        <f t="shared" si="23"/>
        <v>0</v>
      </c>
      <c r="V36" s="823"/>
      <c r="W36" s="823"/>
      <c r="X36" s="823"/>
      <c r="Y36" s="823">
        <f t="shared" si="24"/>
        <v>0</v>
      </c>
      <c r="Z36" s="823">
        <f t="shared" si="25"/>
        <v>0</v>
      </c>
      <c r="AA36" s="823"/>
      <c r="AB36" s="823"/>
      <c r="AC36" s="823"/>
      <c r="AD36" s="823">
        <f t="shared" si="26"/>
        <v>0</v>
      </c>
      <c r="AE36" s="823">
        <f t="shared" si="27"/>
        <v>0</v>
      </c>
      <c r="AF36" s="822" t="s">
        <v>1202</v>
      </c>
    </row>
    <row r="37" spans="1:33" x14ac:dyDescent="0.35">
      <c r="B37" s="268" t="s">
        <v>1203</v>
      </c>
      <c r="C37" s="820" t="s">
        <v>1204</v>
      </c>
      <c r="D37" s="823">
        <v>-2420823.2999999998</v>
      </c>
      <c r="E37" s="823"/>
      <c r="F37" s="823"/>
      <c r="G37" s="823"/>
      <c r="H37" s="823"/>
      <c r="I37" s="823"/>
      <c r="J37" s="823">
        <f t="shared" si="20"/>
        <v>0</v>
      </c>
      <c r="K37" s="823">
        <f t="shared" si="21"/>
        <v>-2420823.2999999998</v>
      </c>
      <c r="L37" s="823">
        <f>-K37</f>
        <v>2420823.2999999998</v>
      </c>
      <c r="M37" s="823"/>
      <c r="N37" s="823"/>
      <c r="O37" s="823">
        <f t="shared" si="18"/>
        <v>2420823.2999999998</v>
      </c>
      <c r="P37" s="823">
        <f t="shared" si="19"/>
        <v>0</v>
      </c>
      <c r="Q37" s="823"/>
      <c r="R37" s="823"/>
      <c r="S37" s="823"/>
      <c r="T37" s="823">
        <f t="shared" si="22"/>
        <v>0</v>
      </c>
      <c r="U37" s="823">
        <f t="shared" si="23"/>
        <v>0</v>
      </c>
      <c r="V37" s="823"/>
      <c r="W37" s="823"/>
      <c r="X37" s="823"/>
      <c r="Y37" s="823">
        <f t="shared" si="24"/>
        <v>0</v>
      </c>
      <c r="Z37" s="823">
        <f t="shared" si="25"/>
        <v>0</v>
      </c>
      <c r="AA37" s="823"/>
      <c r="AB37" s="823"/>
      <c r="AC37" s="823"/>
      <c r="AD37" s="823">
        <f t="shared" si="26"/>
        <v>0</v>
      </c>
      <c r="AE37" s="823">
        <f t="shared" si="27"/>
        <v>0</v>
      </c>
      <c r="AF37" s="822" t="s">
        <v>1202</v>
      </c>
    </row>
    <row r="38" spans="1:33" x14ac:dyDescent="0.35">
      <c r="B38" s="268" t="s">
        <v>1205</v>
      </c>
      <c r="C38" s="820" t="s">
        <v>1206</v>
      </c>
      <c r="D38" s="821">
        <v>-3010556.87</v>
      </c>
      <c r="E38" s="758"/>
      <c r="F38" s="758">
        <f>-D38</f>
        <v>3010556.87</v>
      </c>
      <c r="G38" s="758"/>
      <c r="H38" s="758"/>
      <c r="I38" s="758"/>
      <c r="J38" s="758">
        <f t="shared" si="20"/>
        <v>3010556.87</v>
      </c>
      <c r="K38" s="821">
        <f t="shared" si="21"/>
        <v>0</v>
      </c>
      <c r="L38" s="758"/>
      <c r="M38" s="758"/>
      <c r="N38" s="758"/>
      <c r="O38" s="758">
        <f t="shared" si="18"/>
        <v>0</v>
      </c>
      <c r="P38" s="821">
        <f t="shared" si="19"/>
        <v>0</v>
      </c>
      <c r="Q38" s="758"/>
      <c r="R38" s="758"/>
      <c r="S38" s="758"/>
      <c r="T38" s="758">
        <f t="shared" si="22"/>
        <v>0</v>
      </c>
      <c r="U38" s="821">
        <f t="shared" si="23"/>
        <v>0</v>
      </c>
      <c r="V38" s="758"/>
      <c r="W38" s="758"/>
      <c r="X38" s="758"/>
      <c r="Y38" s="758">
        <f t="shared" si="24"/>
        <v>0</v>
      </c>
      <c r="Z38" s="821">
        <f t="shared" si="25"/>
        <v>0</v>
      </c>
      <c r="AA38" s="758"/>
      <c r="AB38" s="758"/>
      <c r="AC38" s="758"/>
      <c r="AD38" s="758">
        <f t="shared" si="26"/>
        <v>0</v>
      </c>
      <c r="AE38" s="821">
        <f t="shared" si="27"/>
        <v>0</v>
      </c>
      <c r="AF38" s="822" t="s">
        <v>1207</v>
      </c>
    </row>
    <row r="39" spans="1:33" x14ac:dyDescent="0.35">
      <c r="B39" s="268" t="s">
        <v>1208</v>
      </c>
      <c r="C39" s="820" t="s">
        <v>1209</v>
      </c>
      <c r="D39" s="821">
        <v>2020564.35</v>
      </c>
      <c r="E39" s="758"/>
      <c r="F39" s="758">
        <f>-D39</f>
        <v>-2020564.35</v>
      </c>
      <c r="G39" s="758"/>
      <c r="H39" s="758"/>
      <c r="I39" s="758"/>
      <c r="J39" s="758">
        <f t="shared" si="20"/>
        <v>-2020564.35</v>
      </c>
      <c r="K39" s="821">
        <f t="shared" si="21"/>
        <v>0</v>
      </c>
      <c r="L39" s="758"/>
      <c r="M39" s="758"/>
      <c r="N39" s="758"/>
      <c r="O39" s="758">
        <f t="shared" si="18"/>
        <v>0</v>
      </c>
      <c r="P39" s="821">
        <f t="shared" si="19"/>
        <v>0</v>
      </c>
      <c r="Q39" s="758"/>
      <c r="R39" s="758"/>
      <c r="S39" s="758"/>
      <c r="T39" s="758">
        <f t="shared" si="22"/>
        <v>0</v>
      </c>
      <c r="U39" s="821">
        <f t="shared" si="23"/>
        <v>0</v>
      </c>
      <c r="V39" s="758"/>
      <c r="W39" s="758"/>
      <c r="X39" s="758"/>
      <c r="Y39" s="758">
        <f t="shared" si="24"/>
        <v>0</v>
      </c>
      <c r="Z39" s="821">
        <f t="shared" si="25"/>
        <v>0</v>
      </c>
      <c r="AA39" s="758"/>
      <c r="AB39" s="758"/>
      <c r="AC39" s="758"/>
      <c r="AD39" s="758">
        <f t="shared" si="26"/>
        <v>0</v>
      </c>
      <c r="AE39" s="821">
        <f t="shared" si="27"/>
        <v>0</v>
      </c>
      <c r="AF39" s="822" t="s">
        <v>1207</v>
      </c>
    </row>
    <row r="40" spans="1:33" x14ac:dyDescent="0.35">
      <c r="B40" s="268" t="s">
        <v>1210</v>
      </c>
      <c r="C40" s="831" t="s">
        <v>1211</v>
      </c>
      <c r="D40" s="823">
        <v>3844168.62</v>
      </c>
      <c r="E40" s="823"/>
      <c r="F40" s="823"/>
      <c r="G40" s="823">
        <f>-D40</f>
        <v>-3844168.62</v>
      </c>
      <c r="H40" s="823"/>
      <c r="I40" s="823"/>
      <c r="J40" s="823">
        <f t="shared" si="20"/>
        <v>-3844168.62</v>
      </c>
      <c r="K40" s="823">
        <f t="shared" si="21"/>
        <v>0</v>
      </c>
      <c r="L40" s="823"/>
      <c r="M40" s="823"/>
      <c r="N40" s="823"/>
      <c r="O40" s="823">
        <f t="shared" si="18"/>
        <v>0</v>
      </c>
      <c r="P40" s="823">
        <f t="shared" si="19"/>
        <v>0</v>
      </c>
      <c r="Q40" s="823"/>
      <c r="R40" s="823"/>
      <c r="S40" s="823"/>
      <c r="T40" s="823">
        <f t="shared" si="22"/>
        <v>0</v>
      </c>
      <c r="U40" s="823">
        <f t="shared" si="23"/>
        <v>0</v>
      </c>
      <c r="V40" s="823"/>
      <c r="W40" s="823"/>
      <c r="X40" s="823"/>
      <c r="Y40" s="823">
        <f t="shared" si="24"/>
        <v>0</v>
      </c>
      <c r="Z40" s="823">
        <f t="shared" si="25"/>
        <v>0</v>
      </c>
      <c r="AA40" s="823"/>
      <c r="AB40" s="823"/>
      <c r="AC40" s="823"/>
      <c r="AD40" s="823">
        <f t="shared" si="26"/>
        <v>0</v>
      </c>
      <c r="AE40" s="823">
        <f t="shared" si="27"/>
        <v>0</v>
      </c>
      <c r="AF40" s="828" t="s">
        <v>1770</v>
      </c>
    </row>
    <row r="41" spans="1:33" x14ac:dyDescent="0.35">
      <c r="B41" s="268" t="s">
        <v>1212</v>
      </c>
      <c r="C41" s="820" t="s">
        <v>1213</v>
      </c>
      <c r="D41" s="823">
        <v>6313363.0800000001</v>
      </c>
      <c r="E41" s="823"/>
      <c r="F41" s="823"/>
      <c r="G41" s="823"/>
      <c r="H41" s="823"/>
      <c r="I41" s="823"/>
      <c r="J41" s="823">
        <f t="shared" si="20"/>
        <v>0</v>
      </c>
      <c r="K41" s="823">
        <f t="shared" si="21"/>
        <v>6313363.0800000001</v>
      </c>
      <c r="L41" s="823">
        <f>-K41</f>
        <v>-6313363.0800000001</v>
      </c>
      <c r="M41" s="823"/>
      <c r="N41" s="823"/>
      <c r="O41" s="823">
        <f t="shared" si="18"/>
        <v>-6313363.0800000001</v>
      </c>
      <c r="P41" s="823">
        <f t="shared" si="19"/>
        <v>0</v>
      </c>
      <c r="Q41" s="823"/>
      <c r="R41" s="823"/>
      <c r="S41" s="823"/>
      <c r="T41" s="823">
        <f t="shared" si="22"/>
        <v>0</v>
      </c>
      <c r="U41" s="823">
        <f t="shared" si="23"/>
        <v>0</v>
      </c>
      <c r="V41" s="823"/>
      <c r="W41" s="823"/>
      <c r="X41" s="823"/>
      <c r="Y41" s="823">
        <f t="shared" si="24"/>
        <v>0</v>
      </c>
      <c r="Z41" s="823">
        <f t="shared" si="25"/>
        <v>0</v>
      </c>
      <c r="AA41" s="823"/>
      <c r="AB41" s="823"/>
      <c r="AC41" s="823"/>
      <c r="AD41" s="823">
        <f t="shared" si="26"/>
        <v>0</v>
      </c>
      <c r="AE41" s="823">
        <f t="shared" si="27"/>
        <v>0</v>
      </c>
      <c r="AF41" s="822" t="s">
        <v>1202</v>
      </c>
    </row>
    <row r="42" spans="1:33" x14ac:dyDescent="0.35">
      <c r="B42" s="268" t="s">
        <v>1214</v>
      </c>
      <c r="C42" s="820" t="s">
        <v>1215</v>
      </c>
      <c r="D42" s="821">
        <v>-9283089.0099999998</v>
      </c>
      <c r="E42" s="758"/>
      <c r="F42" s="758">
        <f>-D42</f>
        <v>9283089.0099999998</v>
      </c>
      <c r="G42" s="758"/>
      <c r="H42" s="758"/>
      <c r="I42" s="758"/>
      <c r="J42" s="758">
        <f t="shared" si="20"/>
        <v>9283089.0099999998</v>
      </c>
      <c r="K42" s="821">
        <f t="shared" si="21"/>
        <v>0</v>
      </c>
      <c r="L42" s="758"/>
      <c r="M42" s="758"/>
      <c r="N42" s="758"/>
      <c r="O42" s="758">
        <f t="shared" si="18"/>
        <v>0</v>
      </c>
      <c r="P42" s="821">
        <f t="shared" si="19"/>
        <v>0</v>
      </c>
      <c r="Q42" s="758"/>
      <c r="R42" s="758"/>
      <c r="S42" s="758"/>
      <c r="T42" s="758">
        <f t="shared" si="22"/>
        <v>0</v>
      </c>
      <c r="U42" s="821">
        <f t="shared" si="23"/>
        <v>0</v>
      </c>
      <c r="V42" s="758"/>
      <c r="W42" s="758"/>
      <c r="X42" s="758"/>
      <c r="Y42" s="758">
        <f t="shared" si="24"/>
        <v>0</v>
      </c>
      <c r="Z42" s="821">
        <f t="shared" si="25"/>
        <v>0</v>
      </c>
      <c r="AA42" s="758"/>
      <c r="AB42" s="758"/>
      <c r="AC42" s="758"/>
      <c r="AD42" s="758">
        <f t="shared" si="26"/>
        <v>0</v>
      </c>
      <c r="AE42" s="821">
        <f t="shared" si="27"/>
        <v>0</v>
      </c>
      <c r="AF42" s="822" t="s">
        <v>1207</v>
      </c>
    </row>
    <row r="43" spans="1:33" x14ac:dyDescent="0.35">
      <c r="B43" s="268" t="s">
        <v>1216</v>
      </c>
      <c r="C43" s="820" t="s">
        <v>1217</v>
      </c>
      <c r="D43" s="823">
        <v>20081109</v>
      </c>
      <c r="E43" s="823"/>
      <c r="F43" s="823"/>
      <c r="G43" s="823"/>
      <c r="H43" s="823"/>
      <c r="I43" s="823"/>
      <c r="J43" s="823">
        <f t="shared" si="20"/>
        <v>0</v>
      </c>
      <c r="K43" s="823">
        <f t="shared" si="21"/>
        <v>20081109</v>
      </c>
      <c r="L43" s="823"/>
      <c r="M43" s="823"/>
      <c r="N43" s="823">
        <f>-D43</f>
        <v>-20081109</v>
      </c>
      <c r="O43" s="823">
        <f t="shared" si="18"/>
        <v>-20081109</v>
      </c>
      <c r="P43" s="823">
        <f t="shared" si="19"/>
        <v>0</v>
      </c>
      <c r="Q43" s="823"/>
      <c r="R43" s="823"/>
      <c r="S43" s="823"/>
      <c r="T43" s="823">
        <f t="shared" si="22"/>
        <v>0</v>
      </c>
      <c r="U43" s="823">
        <f t="shared" si="23"/>
        <v>0</v>
      </c>
      <c r="V43" s="823"/>
      <c r="W43" s="823"/>
      <c r="X43" s="823"/>
      <c r="Y43" s="823">
        <f t="shared" si="24"/>
        <v>0</v>
      </c>
      <c r="Z43" s="823">
        <f t="shared" si="25"/>
        <v>0</v>
      </c>
      <c r="AA43" s="823"/>
      <c r="AB43" s="823"/>
      <c r="AC43" s="823"/>
      <c r="AD43" s="823">
        <f t="shared" si="26"/>
        <v>0</v>
      </c>
      <c r="AE43" s="823">
        <f t="shared" si="27"/>
        <v>0</v>
      </c>
      <c r="AF43" s="822" t="s">
        <v>1771</v>
      </c>
    </row>
    <row r="44" spans="1:33" x14ac:dyDescent="0.35">
      <c r="B44" s="268" t="s">
        <v>1218</v>
      </c>
      <c r="C44" s="820" t="s">
        <v>1219</v>
      </c>
      <c r="D44" s="821">
        <v>-20587.419999999998</v>
      </c>
      <c r="E44" s="758"/>
      <c r="F44" s="758">
        <f>-D44</f>
        <v>20587.419999999998</v>
      </c>
      <c r="G44" s="758"/>
      <c r="H44" s="758"/>
      <c r="I44" s="758"/>
      <c r="J44" s="758">
        <f t="shared" si="20"/>
        <v>20587.419999999998</v>
      </c>
      <c r="K44" s="821">
        <f t="shared" si="21"/>
        <v>0</v>
      </c>
      <c r="L44" s="758"/>
      <c r="M44" s="758"/>
      <c r="N44" s="758"/>
      <c r="O44" s="758">
        <f t="shared" si="18"/>
        <v>0</v>
      </c>
      <c r="P44" s="821">
        <f t="shared" si="19"/>
        <v>0</v>
      </c>
      <c r="Q44" s="758"/>
      <c r="R44" s="758"/>
      <c r="S44" s="758"/>
      <c r="T44" s="758">
        <f t="shared" si="22"/>
        <v>0</v>
      </c>
      <c r="U44" s="821">
        <f t="shared" si="23"/>
        <v>0</v>
      </c>
      <c r="V44" s="758"/>
      <c r="W44" s="758"/>
      <c r="X44" s="758"/>
      <c r="Y44" s="758">
        <f t="shared" si="24"/>
        <v>0</v>
      </c>
      <c r="Z44" s="821">
        <f t="shared" si="25"/>
        <v>0</v>
      </c>
      <c r="AA44" s="758"/>
      <c r="AB44" s="758"/>
      <c r="AC44" s="758"/>
      <c r="AD44" s="758">
        <f t="shared" si="26"/>
        <v>0</v>
      </c>
      <c r="AE44" s="821">
        <f t="shared" si="27"/>
        <v>0</v>
      </c>
      <c r="AF44" s="822" t="s">
        <v>1183</v>
      </c>
    </row>
    <row r="45" spans="1:33" x14ac:dyDescent="0.35">
      <c r="B45" s="268" t="s">
        <v>1220</v>
      </c>
      <c r="C45" s="820" t="s">
        <v>1221</v>
      </c>
      <c r="D45" s="823">
        <v>-1502765.34</v>
      </c>
      <c r="E45" s="823">
        <f>-D45</f>
        <v>1502765.34</v>
      </c>
      <c r="F45" s="823"/>
      <c r="G45" s="823"/>
      <c r="H45" s="823"/>
      <c r="I45" s="823"/>
      <c r="J45" s="823">
        <f t="shared" si="20"/>
        <v>1502765.34</v>
      </c>
      <c r="K45" s="823">
        <f t="shared" si="21"/>
        <v>0</v>
      </c>
      <c r="L45" s="823"/>
      <c r="M45" s="823"/>
      <c r="N45" s="823"/>
      <c r="O45" s="823">
        <f t="shared" si="18"/>
        <v>0</v>
      </c>
      <c r="P45" s="823">
        <f t="shared" si="19"/>
        <v>0</v>
      </c>
      <c r="Q45" s="823"/>
      <c r="R45" s="823"/>
      <c r="S45" s="823"/>
      <c r="T45" s="823">
        <f t="shared" si="22"/>
        <v>0</v>
      </c>
      <c r="U45" s="823">
        <f t="shared" si="23"/>
        <v>0</v>
      </c>
      <c r="V45" s="823"/>
      <c r="W45" s="823"/>
      <c r="X45" s="823"/>
      <c r="Y45" s="823">
        <f t="shared" si="24"/>
        <v>0</v>
      </c>
      <c r="Z45" s="823">
        <f t="shared" si="25"/>
        <v>0</v>
      </c>
      <c r="AA45" s="823"/>
      <c r="AB45" s="823"/>
      <c r="AC45" s="823"/>
      <c r="AD45" s="823">
        <f t="shared" si="26"/>
        <v>0</v>
      </c>
      <c r="AE45" s="823">
        <f t="shared" si="27"/>
        <v>0</v>
      </c>
      <c r="AF45" s="822" t="s">
        <v>1772</v>
      </c>
    </row>
    <row r="46" spans="1:33" x14ac:dyDescent="0.35">
      <c r="A46" s="268" t="s">
        <v>1170</v>
      </c>
      <c r="B46" s="268" t="s">
        <v>1222</v>
      </c>
      <c r="C46" s="820" t="s">
        <v>1223</v>
      </c>
      <c r="D46" s="823">
        <v>8508.5400000000009</v>
      </c>
      <c r="E46" s="823"/>
      <c r="F46" s="823"/>
      <c r="G46" s="823"/>
      <c r="H46" s="823"/>
      <c r="I46" s="823"/>
      <c r="J46" s="823">
        <f t="shared" si="20"/>
        <v>0</v>
      </c>
      <c r="K46" s="823">
        <f t="shared" si="21"/>
        <v>8508.5400000000009</v>
      </c>
      <c r="L46" s="823"/>
      <c r="M46" s="823"/>
      <c r="N46" s="823"/>
      <c r="O46" s="823">
        <f t="shared" si="18"/>
        <v>0</v>
      </c>
      <c r="P46" s="823">
        <f t="shared" si="19"/>
        <v>8508.5400000000009</v>
      </c>
      <c r="Q46" s="823"/>
      <c r="R46" s="823"/>
      <c r="S46" s="823"/>
      <c r="T46" s="823">
        <f t="shared" si="22"/>
        <v>0</v>
      </c>
      <c r="U46" s="823">
        <f t="shared" si="23"/>
        <v>8508.5400000000009</v>
      </c>
      <c r="V46" s="823"/>
      <c r="W46" s="823"/>
      <c r="X46" s="823"/>
      <c r="Y46" s="823">
        <f t="shared" si="24"/>
        <v>0</v>
      </c>
      <c r="Z46" s="823">
        <f t="shared" si="25"/>
        <v>8508.5400000000009</v>
      </c>
      <c r="AA46" s="823"/>
      <c r="AB46" s="823"/>
      <c r="AC46" s="823"/>
      <c r="AD46" s="823">
        <f t="shared" si="26"/>
        <v>0</v>
      </c>
      <c r="AE46" s="823">
        <f t="shared" si="27"/>
        <v>8508.5400000000009</v>
      </c>
      <c r="AF46" s="822" t="s">
        <v>1146</v>
      </c>
      <c r="AG46" t="s">
        <v>1164</v>
      </c>
    </row>
    <row r="47" spans="1:33" ht="15" thickBot="1" x14ac:dyDescent="0.4">
      <c r="B47" s="268" t="s">
        <v>1224</v>
      </c>
      <c r="D47" s="825">
        <f t="shared" ref="D47:AE47" si="29">SUM(D11:D46)</f>
        <v>14367467.790000001</v>
      </c>
      <c r="E47" s="826">
        <f t="shared" ref="E47" si="30">SUM(E11:E46)</f>
        <v>111532.01000000001</v>
      </c>
      <c r="F47" s="826">
        <f t="shared" si="29"/>
        <v>11058338.82</v>
      </c>
      <c r="G47" s="826">
        <f t="shared" si="29"/>
        <v>-3844168.62</v>
      </c>
      <c r="H47" s="826">
        <f t="shared" si="29"/>
        <v>0</v>
      </c>
      <c r="I47" s="826">
        <f t="shared" si="29"/>
        <v>0</v>
      </c>
      <c r="J47" s="826">
        <f t="shared" si="29"/>
        <v>7325702.209999999</v>
      </c>
      <c r="K47" s="825">
        <f t="shared" si="29"/>
        <v>21693170</v>
      </c>
      <c r="L47" s="826">
        <f t="shared" si="29"/>
        <v>-836935.66999999993</v>
      </c>
      <c r="M47" s="826">
        <f t="shared" si="29"/>
        <v>-1336792.368297589</v>
      </c>
      <c r="N47" s="826">
        <f t="shared" si="29"/>
        <v>-20081109</v>
      </c>
      <c r="O47" s="826">
        <f t="shared" si="29"/>
        <v>-22254837.03829759</v>
      </c>
      <c r="P47" s="825">
        <f t="shared" si="29"/>
        <v>-561667.03829758917</v>
      </c>
      <c r="Q47" s="826">
        <f t="shared" si="29"/>
        <v>0</v>
      </c>
      <c r="R47" s="826">
        <f t="shared" si="29"/>
        <v>-43122.744148794794</v>
      </c>
      <c r="S47" s="826">
        <f t="shared" si="29"/>
        <v>0</v>
      </c>
      <c r="T47" s="826">
        <f t="shared" si="29"/>
        <v>-43122.744148794794</v>
      </c>
      <c r="U47" s="825">
        <f t="shared" si="29"/>
        <v>-604789.78244638396</v>
      </c>
      <c r="V47" s="826">
        <f t="shared" ref="V47" si="31">SUM(V11:V46)</f>
        <v>0</v>
      </c>
      <c r="W47" s="826">
        <f t="shared" si="29"/>
        <v>0</v>
      </c>
      <c r="X47" s="826">
        <f t="shared" si="29"/>
        <v>0</v>
      </c>
      <c r="Y47" s="826">
        <f t="shared" si="29"/>
        <v>0</v>
      </c>
      <c r="Z47" s="825">
        <f t="shared" si="29"/>
        <v>-604789.78244638396</v>
      </c>
      <c r="AA47" s="826">
        <f t="shared" si="29"/>
        <v>0</v>
      </c>
      <c r="AB47" s="826">
        <f t="shared" si="29"/>
        <v>2630462.4217455317</v>
      </c>
      <c r="AC47" s="826">
        <f t="shared" si="29"/>
        <v>0</v>
      </c>
      <c r="AD47" s="826">
        <f t="shared" si="29"/>
        <v>2630462.4217455317</v>
      </c>
      <c r="AE47" s="825">
        <f t="shared" si="29"/>
        <v>2025672.6392991478</v>
      </c>
    </row>
    <row r="48" spans="1:33" ht="15" thickTop="1" x14ac:dyDescent="0.35"/>
  </sheetData>
  <autoFilter ref="B9:AG47" xr:uid="{00000000-0009-0000-0000-000011000000}"/>
  <mergeCells count="1">
    <mergeCell ref="A4:B4"/>
  </mergeCells>
  <conditionalFormatting sqref="A4">
    <cfRule type="cellIs" dxfId="11" priority="27" operator="notEqual">
      <formula>0</formula>
    </cfRule>
  </conditionalFormatting>
  <conditionalFormatting sqref="A4:B4">
    <cfRule type="cellIs" dxfId="10" priority="26" operator="equal">
      <formula>0</formula>
    </cfRule>
  </conditionalFormatting>
  <conditionalFormatting sqref="D2:AE2">
    <cfRule type="cellIs" dxfId="9" priority="2" operator="equal">
      <formula>"ADD FORMULA!"</formula>
    </cfRule>
  </conditionalFormatting>
  <conditionalFormatting sqref="D4:AE4">
    <cfRule type="cellIs" dxfId="8" priority="3" operator="equal">
      <formula>0</formula>
    </cfRule>
    <cfRule type="cellIs" dxfId="7" priority="4" operator="notEqual">
      <formula>0</formula>
    </cfRule>
  </conditionalFormatting>
  <conditionalFormatting sqref="D6:AE6">
    <cfRule type="expression" dxfId="6" priority="1">
      <formula>D1</formula>
    </cfRule>
  </conditionalFormatting>
  <conditionalFormatting sqref="I6">
    <cfRule type="expression" dxfId="5" priority="21">
      <formula>$I$1</formula>
    </cfRule>
  </conditionalFormatting>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F56"/>
  <sheetViews>
    <sheetView zoomScale="85" zoomScaleNormal="85" workbookViewId="0">
      <pane xSplit="3" ySplit="9" topLeftCell="R10" activePane="bottomRight" state="frozen"/>
      <selection activeCell="B159" sqref="B159"/>
      <selection pane="topRight" activeCell="B159" sqref="B159"/>
      <selection pane="bottomLeft" activeCell="B159" sqref="B159"/>
      <selection pane="bottomRight" activeCell="B159" sqref="B159"/>
    </sheetView>
  </sheetViews>
  <sheetFormatPr defaultColWidth="9.26953125" defaultRowHeight="14.5" outlineLevelRow="1" outlineLevelCol="1" x14ac:dyDescent="0.35"/>
  <cols>
    <col min="1" max="1" width="9.7265625" bestFit="1" customWidth="1"/>
    <col min="2" max="2" width="9" style="268" bestFit="1" customWidth="1"/>
    <col min="3" max="3" width="41.26953125" style="268" bestFit="1" customWidth="1"/>
    <col min="4" max="4" width="18.453125" bestFit="1" customWidth="1"/>
    <col min="5" max="8" width="18.453125" customWidth="1" outlineLevel="1"/>
    <col min="9" max="10" width="18.453125" bestFit="1" customWidth="1"/>
    <col min="11" max="13" width="18.453125" customWidth="1" outlineLevel="1"/>
    <col min="14" max="15" width="18.453125" bestFit="1" customWidth="1"/>
    <col min="16" max="18" width="18.453125" customWidth="1" outlineLevel="1"/>
    <col min="19" max="20" width="18.453125" bestFit="1" customWidth="1"/>
    <col min="21" max="24" width="18.453125" customWidth="1" outlineLevel="1"/>
    <col min="25" max="26" width="18.453125" bestFit="1" customWidth="1"/>
    <col min="27" max="29" width="18.453125" customWidth="1" outlineLevel="1"/>
    <col min="30" max="31" width="18.453125" bestFit="1" customWidth="1"/>
    <col min="32" max="32" width="190.26953125" bestFit="1" customWidth="1"/>
  </cols>
  <sheetData>
    <row r="1" spans="1:32" outlineLevel="1" x14ac:dyDescent="0.35">
      <c r="D1" s="809" t="b">
        <f t="shared" ref="D1:H1" si="0">ISBLANK(D6)</f>
        <v>0</v>
      </c>
      <c r="E1" s="809" t="b">
        <f t="shared" si="0"/>
        <v>0</v>
      </c>
      <c r="F1" s="809" t="b">
        <f t="shared" si="0"/>
        <v>0</v>
      </c>
      <c r="G1" s="809" t="b">
        <f t="shared" ref="G1" si="1">ISBLANK(G6)</f>
        <v>0</v>
      </c>
      <c r="H1" s="809" t="b">
        <f t="shared" si="0"/>
        <v>0</v>
      </c>
      <c r="I1" s="809" t="b">
        <f>ISBLANK(I6)</f>
        <v>0</v>
      </c>
      <c r="J1" s="809" t="b">
        <f t="shared" ref="J1:AC1" si="2">ISBLANK(J6)</f>
        <v>0</v>
      </c>
      <c r="K1" s="809" t="b">
        <f t="shared" si="2"/>
        <v>0</v>
      </c>
      <c r="L1" s="809" t="b">
        <f t="shared" si="2"/>
        <v>0</v>
      </c>
      <c r="M1" s="809" t="b">
        <f t="shared" si="2"/>
        <v>0</v>
      </c>
      <c r="N1" s="809" t="b">
        <f t="shared" si="2"/>
        <v>0</v>
      </c>
      <c r="O1" s="809" t="b">
        <f t="shared" si="2"/>
        <v>0</v>
      </c>
      <c r="P1" s="809" t="b">
        <f t="shared" si="2"/>
        <v>0</v>
      </c>
      <c r="Q1" s="809" t="b">
        <f t="shared" si="2"/>
        <v>0</v>
      </c>
      <c r="R1" s="809" t="b">
        <f t="shared" si="2"/>
        <v>0</v>
      </c>
      <c r="S1" s="809" t="b">
        <f t="shared" si="2"/>
        <v>0</v>
      </c>
      <c r="T1" s="809" t="b">
        <f t="shared" si="2"/>
        <v>0</v>
      </c>
      <c r="U1" s="809" t="b">
        <f t="shared" si="2"/>
        <v>0</v>
      </c>
      <c r="V1" s="809" t="b">
        <f t="shared" si="2"/>
        <v>0</v>
      </c>
      <c r="W1" s="809" t="b">
        <f t="shared" ref="W1" si="3">ISBLANK(W6)</f>
        <v>0</v>
      </c>
      <c r="X1" s="809" t="b">
        <f t="shared" si="2"/>
        <v>0</v>
      </c>
      <c r="Y1" s="809" t="b">
        <f t="shared" si="2"/>
        <v>0</v>
      </c>
      <c r="Z1" s="809" t="b">
        <f t="shared" si="2"/>
        <v>0</v>
      </c>
      <c r="AA1" s="809" t="b">
        <f t="shared" si="2"/>
        <v>0</v>
      </c>
      <c r="AB1" s="809" t="b">
        <f t="shared" si="2"/>
        <v>0</v>
      </c>
      <c r="AC1" s="809" t="b">
        <f t="shared" si="2"/>
        <v>0</v>
      </c>
    </row>
    <row r="2" spans="1:32" x14ac:dyDescent="0.35">
      <c r="A2" s="810" t="s">
        <v>1227</v>
      </c>
      <c r="B2" s="810"/>
      <c r="C2" s="810"/>
      <c r="D2" s="809" t="str">
        <f t="shared" ref="D2:AE2" si="4">IF(ISBLANK(D6),"ADD FORMULA!","OK")</f>
        <v>OK</v>
      </c>
      <c r="E2" s="809" t="str">
        <f t="shared" si="4"/>
        <v>OK</v>
      </c>
      <c r="F2" s="809" t="str">
        <f t="shared" si="4"/>
        <v>OK</v>
      </c>
      <c r="G2" s="809" t="str">
        <f t="shared" ref="G2" si="5">IF(ISBLANK(G6),"ADD FORMULA!","OK")</f>
        <v>OK</v>
      </c>
      <c r="H2" s="809" t="str">
        <f t="shared" si="4"/>
        <v>OK</v>
      </c>
      <c r="I2" s="809" t="str">
        <f t="shared" si="4"/>
        <v>OK</v>
      </c>
      <c r="J2" s="809" t="str">
        <f t="shared" si="4"/>
        <v>OK</v>
      </c>
      <c r="K2" s="809" t="str">
        <f t="shared" si="4"/>
        <v>OK</v>
      </c>
      <c r="L2" s="809" t="str">
        <f t="shared" si="4"/>
        <v>OK</v>
      </c>
      <c r="M2" s="809" t="str">
        <f t="shared" si="4"/>
        <v>OK</v>
      </c>
      <c r="N2" s="809" t="str">
        <f t="shared" si="4"/>
        <v>OK</v>
      </c>
      <c r="O2" s="809" t="str">
        <f t="shared" si="4"/>
        <v>OK</v>
      </c>
      <c r="P2" s="809" t="str">
        <f t="shared" si="4"/>
        <v>OK</v>
      </c>
      <c r="Q2" s="809" t="str">
        <f t="shared" si="4"/>
        <v>OK</v>
      </c>
      <c r="R2" s="809" t="str">
        <f t="shared" si="4"/>
        <v>OK</v>
      </c>
      <c r="S2" s="809" t="str">
        <f t="shared" si="4"/>
        <v>OK</v>
      </c>
      <c r="T2" s="809" t="str">
        <f t="shared" si="4"/>
        <v>OK</v>
      </c>
      <c r="U2" s="809" t="str">
        <f t="shared" si="4"/>
        <v>OK</v>
      </c>
      <c r="V2" s="809" t="str">
        <f t="shared" si="4"/>
        <v>OK</v>
      </c>
      <c r="W2" s="809" t="str">
        <f t="shared" ref="W2" si="6">IF(ISBLANK(W6),"ADD FORMULA!","OK")</f>
        <v>OK</v>
      </c>
      <c r="X2" s="809" t="str">
        <f t="shared" si="4"/>
        <v>OK</v>
      </c>
      <c r="Y2" s="809" t="str">
        <f t="shared" si="4"/>
        <v>OK</v>
      </c>
      <c r="Z2" s="809" t="str">
        <f t="shared" si="4"/>
        <v>OK</v>
      </c>
      <c r="AA2" s="809" t="str">
        <f t="shared" si="4"/>
        <v>OK</v>
      </c>
      <c r="AB2" s="809" t="str">
        <f t="shared" si="4"/>
        <v>OK</v>
      </c>
      <c r="AC2" s="809" t="str">
        <f t="shared" si="4"/>
        <v>OK</v>
      </c>
      <c r="AD2" s="809" t="str">
        <f t="shared" si="4"/>
        <v>OK</v>
      </c>
      <c r="AE2" s="809" t="str">
        <f t="shared" si="4"/>
        <v>OK</v>
      </c>
    </row>
    <row r="3" spans="1:32" x14ac:dyDescent="0.35">
      <c r="A3" s="811" t="s">
        <v>1228</v>
      </c>
      <c r="B3" s="811"/>
      <c r="C3" s="811"/>
      <c r="D3" s="811"/>
      <c r="E3" s="811"/>
      <c r="F3" s="811"/>
      <c r="G3" s="811"/>
      <c r="H3" s="811"/>
      <c r="I3" s="811"/>
      <c r="J3" s="811"/>
      <c r="K3" s="811"/>
      <c r="L3" s="811"/>
      <c r="M3" s="811"/>
      <c r="N3" s="811"/>
      <c r="O3" s="811"/>
      <c r="P3" s="811"/>
      <c r="Q3" s="811"/>
    </row>
    <row r="4" spans="1:32" x14ac:dyDescent="0.35">
      <c r="A4" s="1354">
        <f>SUM(D4:AE4)</f>
        <v>19261625</v>
      </c>
      <c r="B4" s="1354"/>
      <c r="C4" t="s">
        <v>1127</v>
      </c>
      <c r="D4" s="319">
        <f>ROUND(D5-D6,0)</f>
        <v>0</v>
      </c>
      <c r="E4" s="319">
        <f>ROUND(E5-E6,0)</f>
        <v>0</v>
      </c>
      <c r="F4" s="319">
        <f t="shared" ref="F4:G4" si="7">ROUND(F5-F6,0)</f>
        <v>0</v>
      </c>
      <c r="G4" s="319">
        <f t="shared" si="7"/>
        <v>0</v>
      </c>
      <c r="H4" s="319">
        <f>ROUND(H5-H6,0)</f>
        <v>0</v>
      </c>
      <c r="I4" s="319">
        <f>ROUND(I5-I6,0)+1</f>
        <v>0</v>
      </c>
      <c r="J4" s="319">
        <f>ROUND(J5-J6,0)+1</f>
        <v>0</v>
      </c>
      <c r="K4" s="319">
        <f t="shared" ref="K4:AD4" si="8">K5-K6</f>
        <v>0</v>
      </c>
      <c r="L4" s="319">
        <f>ROUND(L5-L6,0)</f>
        <v>0</v>
      </c>
      <c r="M4" s="319">
        <f>ROUND(M5-M6,0)</f>
        <v>0</v>
      </c>
      <c r="N4" s="319">
        <f>ROUND(N5-N6,0)</f>
        <v>0</v>
      </c>
      <c r="O4" s="319">
        <f>ROUND(O5-O6,0)</f>
        <v>0</v>
      </c>
      <c r="P4" s="319">
        <f t="shared" si="8"/>
        <v>0</v>
      </c>
      <c r="Q4" s="319">
        <f>ROUND(Q5-Q6,0)</f>
        <v>0</v>
      </c>
      <c r="R4" s="319">
        <f t="shared" si="8"/>
        <v>0</v>
      </c>
      <c r="S4" s="319">
        <f t="shared" si="8"/>
        <v>0</v>
      </c>
      <c r="T4" s="319">
        <f>ROUND(T5-T6,0)</f>
        <v>0</v>
      </c>
      <c r="U4" s="319">
        <f t="shared" si="8"/>
        <v>0</v>
      </c>
      <c r="V4" s="319">
        <f t="shared" si="8"/>
        <v>0</v>
      </c>
      <c r="W4" s="319">
        <f t="shared" si="8"/>
        <v>0</v>
      </c>
      <c r="X4" s="319">
        <f t="shared" si="8"/>
        <v>0</v>
      </c>
      <c r="Y4" s="319">
        <f>ROUND(Y5-Y6,0)</f>
        <v>3852325</v>
      </c>
      <c r="Z4" s="319">
        <f>ROUND(Z5-Z6,0)</f>
        <v>3852325</v>
      </c>
      <c r="AA4" s="319">
        <f t="shared" si="8"/>
        <v>0</v>
      </c>
      <c r="AB4" s="319">
        <f t="shared" si="8"/>
        <v>0</v>
      </c>
      <c r="AC4" s="319">
        <f t="shared" si="8"/>
        <v>0</v>
      </c>
      <c r="AD4" s="319">
        <f t="shared" si="8"/>
        <v>3852325.0000000009</v>
      </c>
      <c r="AE4" s="319">
        <f>ROUND(AE5-AE6,0)</f>
        <v>7704650</v>
      </c>
    </row>
    <row r="5" spans="1:32" x14ac:dyDescent="0.35">
      <c r="B5" s="268" t="s">
        <v>1128</v>
      </c>
      <c r="D5" s="242">
        <f>'Summary DPK-7 '!$C$40</f>
        <v>-124060557.32999998</v>
      </c>
      <c r="E5" s="242">
        <f>'Detailed Summary'!$AK$41</f>
        <v>131168189.513</v>
      </c>
      <c r="F5" s="242">
        <f>'Detailed Summary'!AC41</f>
        <v>338867.23404892068</v>
      </c>
      <c r="G5" s="242">
        <f>'Detailed Summary'!AL41</f>
        <v>1614927.4900000002</v>
      </c>
      <c r="H5" s="242">
        <f>'Detailed Summary'!S41</f>
        <v>984867.936666667</v>
      </c>
      <c r="I5" s="242">
        <f>'Summary DPK-7 '!$D$40</f>
        <v>134106852.17371558</v>
      </c>
      <c r="J5" s="242">
        <f>'Summary DPK-7 '!$E$40</f>
        <v>10046294.843715593</v>
      </c>
      <c r="K5" s="242">
        <f>'Detailed Summary'!$AQ$102</f>
        <v>1669271.8210219755</v>
      </c>
      <c r="L5" s="242">
        <f>'Detailed Summary'!AC102</f>
        <v>-10589.577548920177</v>
      </c>
      <c r="M5" s="242">
        <f>'Detailed Summary'!AP102</f>
        <v>6303193.7592588468</v>
      </c>
      <c r="N5" s="242">
        <f>'Summary DPK-7 '!$F$40</f>
        <v>7961876.0027319025</v>
      </c>
      <c r="O5" s="242">
        <f>'Summary DPK-7 '!$G$40</f>
        <v>18008170.846447498</v>
      </c>
      <c r="P5" s="242">
        <f>'Detailed Summary'!$AQ$163</f>
        <v>-2567889.2523350799</v>
      </c>
      <c r="Q5" s="242">
        <f>'Detailed Summary'!AC163</f>
        <v>10589.591500000097</v>
      </c>
      <c r="R5" s="242"/>
      <c r="S5" s="242">
        <f>'Summary DPK-7 '!$H$40</f>
        <v>-2557299.6608350798</v>
      </c>
      <c r="T5" s="242">
        <f>'Detailed Summary'!$BC$163</f>
        <v>15450871.185612418</v>
      </c>
      <c r="U5" s="242">
        <f>'Detailed Summary'!$AQ$224</f>
        <v>12910.259331536305</v>
      </c>
      <c r="V5" s="242">
        <f>'Detailed Summary'!AC224</f>
        <v>-1729712.4673011312</v>
      </c>
      <c r="W5" s="242">
        <f>'Detailed Summary'!AB224</f>
        <v>4718449.8108259197</v>
      </c>
      <c r="X5" s="242">
        <f>'Detailed Summary'!AL224</f>
        <v>2403256.8895737054</v>
      </c>
      <c r="Y5" s="242">
        <f>'Summary DPK-7 '!$J$40</f>
        <v>9257229.4924300313</v>
      </c>
      <c r="Z5" s="242">
        <f>'Summary DPK-7 '!$K$40</f>
        <v>24708100.678042449</v>
      </c>
      <c r="AA5" s="242">
        <f>'Detailed Summary'!$AQ$285</f>
        <v>-3158565.3603837881</v>
      </c>
      <c r="AB5" s="242">
        <f>'Detailed Summary'!AC285</f>
        <v>-1789107.5335728293</v>
      </c>
      <c r="AC5" s="242">
        <f>'Detailed Summary'!S285</f>
        <v>-1877404.0336111076</v>
      </c>
      <c r="AD5" s="242">
        <f>'Summary DPK-7 '!$L$40</f>
        <v>-2972751.9275677251</v>
      </c>
      <c r="AE5" s="242">
        <f>'Summary DPK-7 '!$M$40</f>
        <v>21735348.750474725</v>
      </c>
    </row>
    <row r="6" spans="1:32" x14ac:dyDescent="0.35">
      <c r="B6" s="268" t="s">
        <v>1077</v>
      </c>
      <c r="D6" s="242">
        <f>D51</f>
        <v>-124060557.33299999</v>
      </c>
      <c r="E6" s="242">
        <f t="shared" ref="E6:AE6" si="9">E51</f>
        <v>131168189.513</v>
      </c>
      <c r="F6" s="242">
        <f t="shared" si="9"/>
        <v>338867.23</v>
      </c>
      <c r="G6" s="242">
        <f t="shared" si="9"/>
        <v>1614927.4900000002</v>
      </c>
      <c r="H6" s="242">
        <f t="shared" si="9"/>
        <v>984867.93666666676</v>
      </c>
      <c r="I6" s="242">
        <f t="shared" si="9"/>
        <v>134106853.16966666</v>
      </c>
      <c r="J6" s="242">
        <f t="shared" si="9"/>
        <v>10046295.836666664</v>
      </c>
      <c r="K6" s="242">
        <f t="shared" si="9"/>
        <v>1669271.8210219755</v>
      </c>
      <c r="L6" s="242">
        <f t="shared" si="9"/>
        <v>-10589.573499999882</v>
      </c>
      <c r="M6" s="242">
        <f t="shared" si="9"/>
        <v>6303193.4900000002</v>
      </c>
      <c r="N6" s="242">
        <f t="shared" si="9"/>
        <v>7961875.7375219762</v>
      </c>
      <c r="O6" s="242">
        <f t="shared" si="9"/>
        <v>18008170.574188642</v>
      </c>
      <c r="P6" s="242">
        <f t="shared" si="9"/>
        <v>-2567889.252335079</v>
      </c>
      <c r="Q6" s="242">
        <f t="shared" si="9"/>
        <v>10589.59149999998</v>
      </c>
      <c r="R6" s="242">
        <f t="shared" si="9"/>
        <v>0</v>
      </c>
      <c r="S6" s="242">
        <f t="shared" si="9"/>
        <v>-2557299.6608350798</v>
      </c>
      <c r="T6" s="242">
        <f t="shared" si="9"/>
        <v>15450870.91335356</v>
      </c>
      <c r="U6" s="242">
        <f t="shared" si="9"/>
        <v>12910.259331536305</v>
      </c>
      <c r="V6" s="242">
        <f t="shared" si="9"/>
        <v>-1729712.4673011322</v>
      </c>
      <c r="W6" s="242">
        <f t="shared" si="9"/>
        <v>4718449.8108259197</v>
      </c>
      <c r="X6" s="242">
        <f t="shared" si="9"/>
        <v>2403256.8895737054</v>
      </c>
      <c r="Y6" s="242">
        <f t="shared" si="9"/>
        <v>5404904.4924300294</v>
      </c>
      <c r="Z6" s="242">
        <f t="shared" si="9"/>
        <v>20855775.405783594</v>
      </c>
      <c r="AA6" s="242">
        <f t="shared" si="9"/>
        <v>-3158565.3603837881</v>
      </c>
      <c r="AB6" s="242">
        <f t="shared" si="9"/>
        <v>-1789107.5335728303</v>
      </c>
      <c r="AC6" s="242">
        <f t="shared" si="9"/>
        <v>-1877404.0336111074</v>
      </c>
      <c r="AD6" s="242">
        <f t="shared" si="9"/>
        <v>-6825076.927567726</v>
      </c>
      <c r="AE6" s="242">
        <f t="shared" si="9"/>
        <v>14030698.478215866</v>
      </c>
    </row>
    <row r="7" spans="1:32" x14ac:dyDescent="0.35">
      <c r="E7" s="812" t="s">
        <v>1276</v>
      </c>
      <c r="F7" s="812"/>
      <c r="G7" s="812"/>
      <c r="H7" s="812"/>
      <c r="K7" s="812" t="s">
        <v>1276</v>
      </c>
      <c r="L7" s="812"/>
      <c r="M7" s="812"/>
      <c r="P7" s="812" t="s">
        <v>1276</v>
      </c>
      <c r="Q7" s="812"/>
      <c r="R7" s="812"/>
      <c r="U7" s="812" t="s">
        <v>1276</v>
      </c>
      <c r="V7" s="812"/>
      <c r="W7" s="812"/>
      <c r="X7" s="812"/>
      <c r="AA7" s="812" t="s">
        <v>1276</v>
      </c>
      <c r="AB7" s="812"/>
      <c r="AC7" s="812"/>
    </row>
    <row r="8" spans="1:32" x14ac:dyDescent="0.35">
      <c r="D8" s="816" t="s">
        <v>1229</v>
      </c>
      <c r="E8" s="814" t="s">
        <v>892</v>
      </c>
      <c r="F8" s="814"/>
      <c r="G8" s="814"/>
      <c r="H8" s="814"/>
      <c r="I8" s="815" t="s">
        <v>892</v>
      </c>
      <c r="J8" s="816" t="s">
        <v>1131</v>
      </c>
      <c r="K8" s="814" t="s">
        <v>1132</v>
      </c>
      <c r="L8" s="814"/>
      <c r="M8" s="814"/>
      <c r="N8" s="815" t="s">
        <v>1132</v>
      </c>
      <c r="O8" s="816" t="s">
        <v>1132</v>
      </c>
      <c r="P8" s="814" t="s">
        <v>891</v>
      </c>
      <c r="Q8" s="814"/>
      <c r="R8" s="814"/>
      <c r="S8" s="815" t="s">
        <v>891</v>
      </c>
      <c r="T8" s="816" t="s">
        <v>891</v>
      </c>
      <c r="U8" s="814" t="s">
        <v>1133</v>
      </c>
      <c r="V8" s="814"/>
      <c r="W8" s="814"/>
      <c r="X8" s="814"/>
      <c r="Y8" s="815" t="s">
        <v>1133</v>
      </c>
      <c r="Z8" s="816" t="s">
        <v>1133</v>
      </c>
      <c r="AA8" s="814" t="s">
        <v>1134</v>
      </c>
      <c r="AB8" s="814"/>
      <c r="AC8" s="814"/>
      <c r="AD8" s="815" t="s">
        <v>1134</v>
      </c>
      <c r="AE8" s="816" t="s">
        <v>1134</v>
      </c>
    </row>
    <row r="9" spans="1:32" x14ac:dyDescent="0.35">
      <c r="B9" s="817" t="s">
        <v>1135</v>
      </c>
      <c r="C9" s="817" t="s">
        <v>1136</v>
      </c>
      <c r="D9" s="827" t="s">
        <v>1137</v>
      </c>
      <c r="E9" s="123" t="s">
        <v>1139</v>
      </c>
      <c r="F9" s="123" t="s">
        <v>1473</v>
      </c>
      <c r="G9" s="123" t="s">
        <v>1567</v>
      </c>
      <c r="H9" s="123" t="s">
        <v>1790</v>
      </c>
      <c r="I9" s="123" t="s">
        <v>1141</v>
      </c>
      <c r="J9" s="818">
        <v>45107</v>
      </c>
      <c r="K9" s="123" t="s">
        <v>1142</v>
      </c>
      <c r="L9" s="123" t="s">
        <v>1473</v>
      </c>
      <c r="M9" s="123" t="s">
        <v>1564</v>
      </c>
      <c r="N9" s="123" t="s">
        <v>1141</v>
      </c>
      <c r="O9" s="818">
        <v>45291</v>
      </c>
      <c r="P9" s="123" t="s">
        <v>1142</v>
      </c>
      <c r="Q9" s="123" t="s">
        <v>1473</v>
      </c>
      <c r="R9" s="123" t="s">
        <v>1140</v>
      </c>
      <c r="S9" s="123" t="s">
        <v>1141</v>
      </c>
      <c r="T9" s="818">
        <v>45657</v>
      </c>
      <c r="U9" s="123" t="s">
        <v>1142</v>
      </c>
      <c r="V9" s="123" t="s">
        <v>1473</v>
      </c>
      <c r="W9" s="123" t="s">
        <v>1807</v>
      </c>
      <c r="X9" s="123" t="s">
        <v>1533</v>
      </c>
      <c r="Y9" s="123" t="s">
        <v>1141</v>
      </c>
      <c r="Z9" s="818">
        <v>46022</v>
      </c>
      <c r="AA9" s="123" t="s">
        <v>1142</v>
      </c>
      <c r="AB9" s="123" t="s">
        <v>1473</v>
      </c>
      <c r="AC9" s="123" t="s">
        <v>1790</v>
      </c>
      <c r="AD9" s="123" t="s">
        <v>1141</v>
      </c>
      <c r="AE9" s="818">
        <v>46387</v>
      </c>
      <c r="AF9" s="124" t="s">
        <v>1143</v>
      </c>
    </row>
    <row r="10" spans="1:32" x14ac:dyDescent="0.35">
      <c r="D10" s="819"/>
      <c r="J10" s="819"/>
      <c r="O10" s="819"/>
      <c r="T10" s="819"/>
      <c r="Z10" s="819"/>
      <c r="AE10" s="819"/>
    </row>
    <row r="11" spans="1:32" x14ac:dyDescent="0.35">
      <c r="B11" s="268" t="s">
        <v>1230</v>
      </c>
      <c r="C11" s="820" t="s">
        <v>1231</v>
      </c>
      <c r="D11" s="823">
        <v>8412434.2799999993</v>
      </c>
      <c r="E11" s="823"/>
      <c r="F11" s="823"/>
      <c r="G11" s="823"/>
      <c r="H11" s="823"/>
      <c r="I11" s="823">
        <f>SUM(E11:H11)</f>
        <v>0</v>
      </c>
      <c r="J11" s="823">
        <f>I11+D11</f>
        <v>8412434.2799999993</v>
      </c>
      <c r="K11" s="823"/>
      <c r="L11" s="823"/>
      <c r="M11" s="823"/>
      <c r="N11" s="823">
        <f>SUM(K11:M11)</f>
        <v>0</v>
      </c>
      <c r="O11" s="823">
        <f>N11+J11</f>
        <v>8412434.2799999993</v>
      </c>
      <c r="P11" s="823"/>
      <c r="Q11" s="823"/>
      <c r="R11" s="823"/>
      <c r="S11" s="823">
        <f>SUM(P11:R11)</f>
        <v>0</v>
      </c>
      <c r="T11" s="823">
        <f>S11+O11</f>
        <v>8412434.2799999993</v>
      </c>
      <c r="U11" s="823"/>
      <c r="V11" s="823">
        <v>-5489612.5199999996</v>
      </c>
      <c r="W11" s="823"/>
      <c r="X11" s="823"/>
      <c r="Y11" s="823">
        <f>SUM(U11:X11)</f>
        <v>-5489612.5199999996</v>
      </c>
      <c r="Z11" s="823">
        <f>Y11+T11</f>
        <v>2922821.76</v>
      </c>
      <c r="AA11" s="823"/>
      <c r="AB11" s="823">
        <v>-2922821.76</v>
      </c>
      <c r="AC11" s="823"/>
      <c r="AD11" s="823">
        <f>SUM(AA11:AC11)</f>
        <v>-2922821.76</v>
      </c>
      <c r="AE11" s="823">
        <f>AD11+Z11</f>
        <v>0</v>
      </c>
      <c r="AF11" s="822" t="s">
        <v>1779</v>
      </c>
    </row>
    <row r="12" spans="1:32" x14ac:dyDescent="0.35">
      <c r="B12" s="268" t="s">
        <v>1232</v>
      </c>
      <c r="C12" s="820" t="s">
        <v>1233</v>
      </c>
      <c r="D12" s="823">
        <v>-3342600.24</v>
      </c>
      <c r="E12" s="823"/>
      <c r="F12" s="823"/>
      <c r="G12" s="823"/>
      <c r="H12" s="823"/>
      <c r="I12" s="823">
        <f t="shared" ref="I12:I53" si="10">SUM(E12:H12)</f>
        <v>0</v>
      </c>
      <c r="J12" s="823">
        <f t="shared" ref="J12:J53" si="11">I12+D12</f>
        <v>-3342600.24</v>
      </c>
      <c r="K12" s="823"/>
      <c r="L12" s="823"/>
      <c r="M12" s="823"/>
      <c r="N12" s="823">
        <f t="shared" ref="N12:N50" si="12">SUM(K12:M12)</f>
        <v>0</v>
      </c>
      <c r="O12" s="823">
        <f t="shared" ref="O12:O50" si="13">N12+J12</f>
        <v>-3342600.24</v>
      </c>
      <c r="P12" s="823"/>
      <c r="Q12" s="823"/>
      <c r="R12" s="823"/>
      <c r="S12" s="823">
        <f t="shared" ref="S12:S50" si="14">SUM(P12:R12)</f>
        <v>0</v>
      </c>
      <c r="T12" s="823">
        <f t="shared" ref="T12:T50" si="15">S12+O12</f>
        <v>-3342600.24</v>
      </c>
      <c r="U12" s="823"/>
      <c r="V12" s="823">
        <v>2214150.1500000004</v>
      </c>
      <c r="W12" s="823"/>
      <c r="X12" s="823"/>
      <c r="Y12" s="823">
        <f t="shared" ref="Y12:Y50" si="16">SUM(U12:X12)</f>
        <v>2214150.1500000004</v>
      </c>
      <c r="Z12" s="823">
        <f t="shared" ref="Z12:Z50" si="17">Y12+T12</f>
        <v>-1128450.0899999999</v>
      </c>
      <c r="AA12" s="823"/>
      <c r="AB12" s="823">
        <v>1128450.0899999999</v>
      </c>
      <c r="AC12" s="823"/>
      <c r="AD12" s="823">
        <f t="shared" ref="AD12:AD50" si="18">SUM(AA12:AC12)</f>
        <v>1128450.0899999999</v>
      </c>
      <c r="AE12" s="823">
        <f t="shared" ref="AE12:AE50" si="19">AD12+Z12</f>
        <v>0</v>
      </c>
      <c r="AF12" s="822" t="s">
        <v>1779</v>
      </c>
    </row>
    <row r="13" spans="1:32" x14ac:dyDescent="0.35">
      <c r="B13" s="268" t="s">
        <v>1234</v>
      </c>
      <c r="C13" s="831" t="s">
        <v>1235</v>
      </c>
      <c r="D13" s="823">
        <v>3885744</v>
      </c>
      <c r="E13" s="823"/>
      <c r="F13" s="823"/>
      <c r="G13" s="823"/>
      <c r="H13" s="823"/>
      <c r="I13" s="823">
        <f t="shared" si="10"/>
        <v>0</v>
      </c>
      <c r="J13" s="823">
        <f t="shared" si="11"/>
        <v>3885744</v>
      </c>
      <c r="K13" s="823">
        <f>'Gas Adj'!$CA$37</f>
        <v>-971435.41454625316</v>
      </c>
      <c r="L13" s="823"/>
      <c r="M13" s="823"/>
      <c r="N13" s="823">
        <f t="shared" si="12"/>
        <v>-971435.41454625316</v>
      </c>
      <c r="O13" s="823">
        <f t="shared" si="13"/>
        <v>2914308.5854537468</v>
      </c>
      <c r="P13" s="823">
        <f>'Gas Adj'!$CC$37</f>
        <v>-2914306.243638759</v>
      </c>
      <c r="Q13" s="823"/>
      <c r="R13" s="823"/>
      <c r="S13" s="823">
        <f t="shared" si="14"/>
        <v>-2914306.243638759</v>
      </c>
      <c r="T13" s="823">
        <f t="shared" si="15"/>
        <v>2.3418149878270924</v>
      </c>
      <c r="U13" s="823">
        <f>'Gas Adj'!$CE$37</f>
        <v>0</v>
      </c>
      <c r="V13" s="823"/>
      <c r="W13" s="823"/>
      <c r="X13" s="823"/>
      <c r="Y13" s="823">
        <f t="shared" si="16"/>
        <v>0</v>
      </c>
      <c r="Z13" s="823">
        <f t="shared" si="17"/>
        <v>2.3418149878270924</v>
      </c>
      <c r="AA13" s="823">
        <f>'Gas Adj'!$CG$37</f>
        <v>0</v>
      </c>
      <c r="AB13" s="823"/>
      <c r="AC13" s="823"/>
      <c r="AD13" s="823">
        <f t="shared" si="18"/>
        <v>0</v>
      </c>
      <c r="AE13" s="823">
        <f t="shared" si="19"/>
        <v>2.3418149878270924</v>
      </c>
      <c r="AF13" s="822" t="s">
        <v>1773</v>
      </c>
    </row>
    <row r="14" spans="1:32" x14ac:dyDescent="0.35">
      <c r="B14" s="268" t="s">
        <v>1236</v>
      </c>
      <c r="C14" s="831" t="s">
        <v>1237</v>
      </c>
      <c r="D14" s="823">
        <v>44304</v>
      </c>
      <c r="E14" s="823"/>
      <c r="F14" s="823"/>
      <c r="G14" s="823"/>
      <c r="H14" s="823"/>
      <c r="I14" s="823">
        <f t="shared" si="10"/>
        <v>0</v>
      </c>
      <c r="J14" s="823">
        <f t="shared" si="11"/>
        <v>44304</v>
      </c>
      <c r="K14" s="823">
        <f>'Gas Adj'!$CA$38</f>
        <v>-11076.525280655616</v>
      </c>
      <c r="L14" s="823"/>
      <c r="M14" s="823"/>
      <c r="N14" s="823">
        <f t="shared" si="12"/>
        <v>-11076.525280655616</v>
      </c>
      <c r="O14" s="823">
        <f t="shared" si="13"/>
        <v>33227.474719344384</v>
      </c>
      <c r="P14" s="823">
        <f>'Gas Adj'!$CC$38</f>
        <v>-33229.575841966871</v>
      </c>
      <c r="Q14" s="823"/>
      <c r="R14" s="823"/>
      <c r="S14" s="823">
        <f t="shared" si="14"/>
        <v>-33229.575841966871</v>
      </c>
      <c r="T14" s="823">
        <f t="shared" si="15"/>
        <v>-2.1011226224873099</v>
      </c>
      <c r="U14" s="823">
        <f>'Gas Adj'!$CE$38</f>
        <v>0</v>
      </c>
      <c r="V14" s="823"/>
      <c r="W14" s="823"/>
      <c r="X14" s="823"/>
      <c r="Y14" s="823">
        <f t="shared" si="16"/>
        <v>0</v>
      </c>
      <c r="Z14" s="823">
        <f t="shared" si="17"/>
        <v>-2.1011226224873099</v>
      </c>
      <c r="AA14" s="823">
        <f>'Gas Adj'!$CG$38</f>
        <v>0</v>
      </c>
      <c r="AB14" s="823"/>
      <c r="AC14" s="823"/>
      <c r="AD14" s="823">
        <f t="shared" si="18"/>
        <v>0</v>
      </c>
      <c r="AE14" s="823">
        <f t="shared" si="19"/>
        <v>-2.1011226224873099</v>
      </c>
      <c r="AF14" s="822" t="s">
        <v>1773</v>
      </c>
    </row>
    <row r="15" spans="1:32" x14ac:dyDescent="0.35">
      <c r="B15" s="268" t="s">
        <v>1238</v>
      </c>
      <c r="C15" s="820" t="s">
        <v>1239</v>
      </c>
      <c r="D15" s="823">
        <v>465359.64</v>
      </c>
      <c r="E15" s="823"/>
      <c r="F15" s="1105">
        <v>496383.6</v>
      </c>
      <c r="G15" s="823"/>
      <c r="H15" s="823"/>
      <c r="I15" s="823">
        <f t="shared" si="10"/>
        <v>496383.6</v>
      </c>
      <c r="J15" s="823">
        <f t="shared" si="11"/>
        <v>961743.24</v>
      </c>
      <c r="K15" s="823"/>
      <c r="L15" s="823">
        <v>-15511.926833333215</v>
      </c>
      <c r="M15" s="823"/>
      <c r="N15" s="823">
        <f t="shared" si="12"/>
        <v>-15511.926833333215</v>
      </c>
      <c r="O15" s="823">
        <f t="shared" si="13"/>
        <v>946231.31316666678</v>
      </c>
      <c r="P15" s="823"/>
      <c r="Q15" s="823">
        <v>15511.984833333292</v>
      </c>
      <c r="R15" s="823"/>
      <c r="S15" s="823">
        <f t="shared" si="14"/>
        <v>15511.984833333292</v>
      </c>
      <c r="T15" s="823">
        <f t="shared" si="15"/>
        <v>961743.29800000007</v>
      </c>
      <c r="U15" s="823"/>
      <c r="V15" s="823"/>
      <c r="W15" s="823"/>
      <c r="X15" s="823"/>
      <c r="Y15" s="823">
        <f t="shared" si="16"/>
        <v>0</v>
      </c>
      <c r="Z15" s="823">
        <f t="shared" si="17"/>
        <v>961743.29800000007</v>
      </c>
      <c r="AA15" s="823"/>
      <c r="AB15" s="823"/>
      <c r="AC15" s="823"/>
      <c r="AD15" s="823">
        <f t="shared" si="18"/>
        <v>0</v>
      </c>
      <c r="AE15" s="823">
        <f t="shared" si="19"/>
        <v>961743.29800000007</v>
      </c>
      <c r="AF15" s="822" t="s">
        <v>1778</v>
      </c>
    </row>
    <row r="16" spans="1:32" x14ac:dyDescent="0.35">
      <c r="B16" s="268" t="s">
        <v>1240</v>
      </c>
      <c r="C16" s="820" t="s">
        <v>1241</v>
      </c>
      <c r="D16" s="823">
        <v>-147671.59</v>
      </c>
      <c r="E16" s="823"/>
      <c r="F16" s="1105">
        <v>-157516.37000000002</v>
      </c>
      <c r="G16" s="823"/>
      <c r="H16" s="823"/>
      <c r="I16" s="823">
        <f t="shared" si="10"/>
        <v>-157516.37000000002</v>
      </c>
      <c r="J16" s="823">
        <f t="shared" si="11"/>
        <v>-305187.96000000002</v>
      </c>
      <c r="K16" s="823"/>
      <c r="L16" s="823">
        <v>4922.3533333333326</v>
      </c>
      <c r="M16" s="823"/>
      <c r="N16" s="823">
        <f t="shared" si="12"/>
        <v>4922.3533333333326</v>
      </c>
      <c r="O16" s="823">
        <f t="shared" si="13"/>
        <v>-300265.60666666669</v>
      </c>
      <c r="P16" s="823"/>
      <c r="Q16" s="823">
        <v>-4922.3933333333116</v>
      </c>
      <c r="R16" s="823"/>
      <c r="S16" s="823">
        <f t="shared" si="14"/>
        <v>-4922.3933333333116</v>
      </c>
      <c r="T16" s="823">
        <f t="shared" si="15"/>
        <v>-305188</v>
      </c>
      <c r="U16" s="823"/>
      <c r="V16" s="823"/>
      <c r="W16" s="823"/>
      <c r="X16" s="823"/>
      <c r="Y16" s="823">
        <f t="shared" si="16"/>
        <v>0</v>
      </c>
      <c r="Z16" s="823">
        <f t="shared" si="17"/>
        <v>-305188</v>
      </c>
      <c r="AA16" s="823"/>
      <c r="AB16" s="823"/>
      <c r="AC16" s="823"/>
      <c r="AD16" s="823">
        <f t="shared" si="18"/>
        <v>0</v>
      </c>
      <c r="AE16" s="823">
        <f t="shared" si="19"/>
        <v>-305188</v>
      </c>
      <c r="AF16" s="822" t="s">
        <v>1778</v>
      </c>
    </row>
    <row r="17" spans="1:32" x14ac:dyDescent="0.35">
      <c r="A17" t="s">
        <v>1254</v>
      </c>
      <c r="B17" s="268" t="s">
        <v>1774</v>
      </c>
      <c r="C17" s="820" t="s">
        <v>1775</v>
      </c>
      <c r="D17" s="823"/>
      <c r="E17" s="823"/>
      <c r="F17" s="1105"/>
      <c r="G17" s="823"/>
      <c r="H17" s="823"/>
      <c r="I17" s="823">
        <f t="shared" ref="I17:I18" si="20">SUM(E17:H17)</f>
        <v>0</v>
      </c>
      <c r="J17" s="823">
        <f t="shared" ref="J17:J18" si="21">I17+D17</f>
        <v>0</v>
      </c>
      <c r="K17" s="823"/>
      <c r="L17" s="823"/>
      <c r="M17" s="823"/>
      <c r="N17" s="823">
        <f t="shared" ref="N17:N18" si="22">SUM(K17:M17)</f>
        <v>0</v>
      </c>
      <c r="O17" s="823">
        <f t="shared" ref="O17:O18" si="23">N17+J17</f>
        <v>0</v>
      </c>
      <c r="P17" s="823"/>
      <c r="Q17" s="823"/>
      <c r="R17" s="823"/>
      <c r="S17" s="823">
        <f t="shared" ref="S17:S18" si="24">SUM(P17:R17)</f>
        <v>0</v>
      </c>
      <c r="T17" s="823">
        <f t="shared" ref="T17:T18" si="25">S17+O17</f>
        <v>0</v>
      </c>
      <c r="U17" s="823"/>
      <c r="V17" s="823">
        <v>1733963.6820000007</v>
      </c>
      <c r="W17" s="823"/>
      <c r="X17" s="823"/>
      <c r="Y17" s="823">
        <f t="shared" ref="Y17:Y18" si="26">SUM(U17:X17)</f>
        <v>1733963.6820000007</v>
      </c>
      <c r="Z17" s="823">
        <f t="shared" ref="Z17:Z18" si="27">Y17+T17</f>
        <v>1733963.6820000007</v>
      </c>
      <c r="AA17" s="823"/>
      <c r="AB17" s="823"/>
      <c r="AC17" s="823"/>
      <c r="AD17" s="823">
        <f t="shared" ref="AD17:AD18" si="28">SUM(AA17:AC17)</f>
        <v>0</v>
      </c>
      <c r="AE17" s="823">
        <f t="shared" ref="AE17:AE18" si="29">AD17+Z17</f>
        <v>1733963.6820000007</v>
      </c>
      <c r="AF17" s="822" t="s">
        <v>1777</v>
      </c>
    </row>
    <row r="18" spans="1:32" x14ac:dyDescent="0.35">
      <c r="A18" t="s">
        <v>1254</v>
      </c>
      <c r="B18" s="268" t="s">
        <v>1774</v>
      </c>
      <c r="C18" s="820" t="s">
        <v>1776</v>
      </c>
      <c r="D18" s="823"/>
      <c r="E18" s="823"/>
      <c r="F18" s="1105"/>
      <c r="G18" s="823"/>
      <c r="H18" s="823"/>
      <c r="I18" s="823">
        <f t="shared" si="20"/>
        <v>0</v>
      </c>
      <c r="J18" s="823">
        <f t="shared" si="21"/>
        <v>0</v>
      </c>
      <c r="K18" s="823"/>
      <c r="L18" s="823"/>
      <c r="M18" s="823"/>
      <c r="N18" s="823">
        <f t="shared" si="22"/>
        <v>0</v>
      </c>
      <c r="O18" s="823">
        <f t="shared" si="23"/>
        <v>0</v>
      </c>
      <c r="P18" s="823"/>
      <c r="Q18" s="823"/>
      <c r="R18" s="823"/>
      <c r="S18" s="823">
        <f t="shared" si="24"/>
        <v>0</v>
      </c>
      <c r="T18" s="823">
        <f t="shared" si="25"/>
        <v>0</v>
      </c>
      <c r="U18" s="823"/>
      <c r="V18" s="823">
        <v>-188213.77930113373</v>
      </c>
      <c r="W18" s="823"/>
      <c r="X18" s="823"/>
      <c r="Y18" s="823">
        <f t="shared" si="26"/>
        <v>-188213.77930113373</v>
      </c>
      <c r="Z18" s="823">
        <f t="shared" si="27"/>
        <v>-188213.77930113373</v>
      </c>
      <c r="AA18" s="823"/>
      <c r="AB18" s="823">
        <v>5264.1364271696657</v>
      </c>
      <c r="AC18" s="823"/>
      <c r="AD18" s="823">
        <f t="shared" si="28"/>
        <v>5264.1364271696657</v>
      </c>
      <c r="AE18" s="823">
        <f t="shared" si="29"/>
        <v>-182949.64287396407</v>
      </c>
      <c r="AF18" s="822" t="s">
        <v>1777</v>
      </c>
    </row>
    <row r="19" spans="1:32" x14ac:dyDescent="0.35">
      <c r="B19" s="268" t="s">
        <v>1242</v>
      </c>
      <c r="C19" s="831" t="s">
        <v>1243</v>
      </c>
      <c r="D19" s="823">
        <v>888237.4</v>
      </c>
      <c r="E19" s="823"/>
      <c r="F19" s="823"/>
      <c r="G19" s="823"/>
      <c r="H19" s="823"/>
      <c r="I19" s="823">
        <f t="shared" si="10"/>
        <v>0</v>
      </c>
      <c r="J19" s="823">
        <f t="shared" si="11"/>
        <v>888237.4</v>
      </c>
      <c r="K19" s="823">
        <f>'Gas Adj'!$CA$39</f>
        <v>917845.64410127141</v>
      </c>
      <c r="L19" s="823"/>
      <c r="M19" s="823"/>
      <c r="N19" s="823">
        <f t="shared" si="12"/>
        <v>917845.64410127141</v>
      </c>
      <c r="O19" s="823">
        <f t="shared" si="13"/>
        <v>1806083.0441012713</v>
      </c>
      <c r="P19" s="823">
        <f>'Gas Adj'!$CC$39</f>
        <v>29608.274016878568</v>
      </c>
      <c r="Q19" s="823"/>
      <c r="R19" s="823"/>
      <c r="S19" s="823">
        <f t="shared" si="14"/>
        <v>29608.274016878568</v>
      </c>
      <c r="T19" s="823">
        <f t="shared" si="15"/>
        <v>1835691.3181181499</v>
      </c>
      <c r="U19" s="823">
        <f>'Gas Adj'!$CE$39</f>
        <v>0</v>
      </c>
      <c r="V19" s="823"/>
      <c r="W19" s="823"/>
      <c r="X19" s="823"/>
      <c r="Y19" s="823">
        <f t="shared" si="16"/>
        <v>0</v>
      </c>
      <c r="Z19" s="823">
        <f t="shared" si="17"/>
        <v>1835691.3181181499</v>
      </c>
      <c r="AA19" s="823">
        <f>'Gas Adj'!$CG$39</f>
        <v>-1806083.0141856642</v>
      </c>
      <c r="AB19" s="823"/>
      <c r="AC19" s="823"/>
      <c r="AD19" s="823">
        <f t="shared" si="18"/>
        <v>-1806083.0141856642</v>
      </c>
      <c r="AE19" s="823">
        <f t="shared" si="19"/>
        <v>29608.303932485636</v>
      </c>
      <c r="AF19" s="822" t="s">
        <v>1780</v>
      </c>
    </row>
    <row r="20" spans="1:32" x14ac:dyDescent="0.35">
      <c r="B20" s="268" t="s">
        <v>1244</v>
      </c>
      <c r="C20" s="831" t="s">
        <v>1245</v>
      </c>
      <c r="D20" s="823">
        <v>46597.95</v>
      </c>
      <c r="E20" s="823"/>
      <c r="F20" s="823"/>
      <c r="G20" s="823"/>
      <c r="H20" s="823"/>
      <c r="I20" s="823">
        <f t="shared" si="10"/>
        <v>0</v>
      </c>
      <c r="J20" s="823">
        <f t="shared" si="11"/>
        <v>46597.95</v>
      </c>
      <c r="K20" s="823">
        <f>'Gas Adj'!$CA$40</f>
        <v>48151.241606988267</v>
      </c>
      <c r="L20" s="823"/>
      <c r="M20" s="823"/>
      <c r="N20" s="823">
        <f t="shared" si="12"/>
        <v>48151.241606988267</v>
      </c>
      <c r="O20" s="823">
        <f t="shared" si="13"/>
        <v>94749.191606988257</v>
      </c>
      <c r="P20" s="823">
        <f>'Gas Adj'!$CC$40</f>
        <v>1553.2069344980409</v>
      </c>
      <c r="Q20" s="823"/>
      <c r="R20" s="823"/>
      <c r="S20" s="823">
        <f t="shared" si="14"/>
        <v>1553.2069344980409</v>
      </c>
      <c r="T20" s="823">
        <f t="shared" si="15"/>
        <v>96302.398541486298</v>
      </c>
      <c r="U20" s="823">
        <f>'Gas Adj'!$CE$40</f>
        <v>0</v>
      </c>
      <c r="V20" s="823"/>
      <c r="W20" s="823"/>
      <c r="X20" s="823"/>
      <c r="Y20" s="823">
        <f t="shared" si="16"/>
        <v>0</v>
      </c>
      <c r="Z20" s="823">
        <f t="shared" si="17"/>
        <v>96302.398541486298</v>
      </c>
      <c r="AA20" s="823">
        <f>'Gas Adj'!$CG$40</f>
        <v>-94749.276279478334</v>
      </c>
      <c r="AB20" s="823"/>
      <c r="AC20" s="823"/>
      <c r="AD20" s="823">
        <f t="shared" si="18"/>
        <v>-94749.276279478334</v>
      </c>
      <c r="AE20" s="823">
        <f t="shared" si="19"/>
        <v>1553.1222620079643</v>
      </c>
      <c r="AF20" s="822" t="s">
        <v>1780</v>
      </c>
    </row>
    <row r="21" spans="1:32" x14ac:dyDescent="0.35">
      <c r="B21" s="268" t="s">
        <v>1246</v>
      </c>
      <c r="C21" s="831" t="s">
        <v>1247</v>
      </c>
      <c r="D21" s="823">
        <v>1272263</v>
      </c>
      <c r="E21" s="823"/>
      <c r="F21" s="823"/>
      <c r="G21" s="823"/>
      <c r="H21" s="823"/>
      <c r="I21" s="823">
        <f t="shared" si="10"/>
        <v>0</v>
      </c>
      <c r="J21" s="823">
        <f t="shared" si="11"/>
        <v>1272263</v>
      </c>
      <c r="K21" s="823">
        <f>'Gas Adj'!$CA$41</f>
        <v>1314672</v>
      </c>
      <c r="L21" s="823"/>
      <c r="M21" s="823"/>
      <c r="N21" s="823">
        <f t="shared" si="12"/>
        <v>1314672</v>
      </c>
      <c r="O21" s="823">
        <f t="shared" si="13"/>
        <v>2586935</v>
      </c>
      <c r="P21" s="823">
        <f>'Gas Adj'!$CC$41</f>
        <v>42409</v>
      </c>
      <c r="Q21" s="823"/>
      <c r="R21" s="823"/>
      <c r="S21" s="823">
        <f t="shared" si="14"/>
        <v>42409</v>
      </c>
      <c r="T21" s="823">
        <f t="shared" si="15"/>
        <v>2629344</v>
      </c>
      <c r="U21" s="823">
        <f>'Gas Adj'!$CE$41</f>
        <v>393.02820257330313</v>
      </c>
      <c r="V21" s="823"/>
      <c r="W21" s="823"/>
      <c r="X21" s="823"/>
      <c r="Y21" s="823">
        <f t="shared" si="16"/>
        <v>393.02820257330313</v>
      </c>
      <c r="Z21" s="823">
        <f t="shared" si="17"/>
        <v>2629737.0282025733</v>
      </c>
      <c r="AA21" s="823">
        <f>'Gas Adj'!$CG$41</f>
        <v>0</v>
      </c>
      <c r="AB21" s="823"/>
      <c r="AC21" s="823"/>
      <c r="AD21" s="823">
        <f t="shared" si="18"/>
        <v>0</v>
      </c>
      <c r="AE21" s="823">
        <f t="shared" si="19"/>
        <v>2629737.0282025733</v>
      </c>
      <c r="AF21" s="822" t="s">
        <v>1781</v>
      </c>
    </row>
    <row r="22" spans="1:32" x14ac:dyDescent="0.35">
      <c r="B22" s="268" t="s">
        <v>1248</v>
      </c>
      <c r="C22" s="831" t="s">
        <v>1249</v>
      </c>
      <c r="D22" s="823">
        <v>51323</v>
      </c>
      <c r="E22" s="823"/>
      <c r="F22" s="823"/>
      <c r="G22" s="823"/>
      <c r="H22" s="823"/>
      <c r="I22" s="823">
        <f t="shared" si="10"/>
        <v>0</v>
      </c>
      <c r="J22" s="823">
        <f t="shared" si="11"/>
        <v>51323</v>
      </c>
      <c r="K22" s="823">
        <f>'Gas Adj'!$CA$42</f>
        <v>53034</v>
      </c>
      <c r="L22" s="823"/>
      <c r="M22" s="823"/>
      <c r="N22" s="823">
        <f t="shared" si="12"/>
        <v>53034</v>
      </c>
      <c r="O22" s="823">
        <f t="shared" si="13"/>
        <v>104357</v>
      </c>
      <c r="P22" s="823">
        <f>'Gas Adj'!$CC$42</f>
        <v>1711</v>
      </c>
      <c r="Q22" s="823"/>
      <c r="R22" s="823"/>
      <c r="S22" s="823">
        <f t="shared" si="14"/>
        <v>1711</v>
      </c>
      <c r="T22" s="823">
        <f t="shared" si="15"/>
        <v>106068</v>
      </c>
      <c r="U22" s="823">
        <f>'Gas Adj'!$CE$42</f>
        <v>12517.231128963002</v>
      </c>
      <c r="V22" s="823"/>
      <c r="W22" s="823"/>
      <c r="X22" s="823"/>
      <c r="Y22" s="823">
        <f t="shared" si="16"/>
        <v>12517.231128963002</v>
      </c>
      <c r="Z22" s="823">
        <f t="shared" si="17"/>
        <v>118585.231128963</v>
      </c>
      <c r="AA22" s="823">
        <f>'Gas Adj'!$CG$42</f>
        <v>0</v>
      </c>
      <c r="AB22" s="823"/>
      <c r="AC22" s="823"/>
      <c r="AD22" s="823">
        <f t="shared" si="18"/>
        <v>0</v>
      </c>
      <c r="AE22" s="823">
        <f t="shared" si="19"/>
        <v>118585.231128963</v>
      </c>
      <c r="AF22" s="822" t="s">
        <v>1781</v>
      </c>
    </row>
    <row r="23" spans="1:32" x14ac:dyDescent="0.35">
      <c r="B23" s="268" t="s">
        <v>1250</v>
      </c>
      <c r="C23" s="831" t="s">
        <v>1251</v>
      </c>
      <c r="D23" s="823">
        <v>259630.37</v>
      </c>
      <c r="E23" s="823"/>
      <c r="F23" s="823"/>
      <c r="G23" s="823"/>
      <c r="H23" s="823"/>
      <c r="I23" s="823">
        <f t="shared" si="10"/>
        <v>0</v>
      </c>
      <c r="J23" s="823">
        <f t="shared" si="11"/>
        <v>259630.37</v>
      </c>
      <c r="K23" s="823">
        <f>'Gas Adj'!$CA$32</f>
        <v>268284.69995562505</v>
      </c>
      <c r="L23" s="823"/>
      <c r="M23" s="823"/>
      <c r="N23" s="823">
        <f t="shared" si="12"/>
        <v>268284.69995562505</v>
      </c>
      <c r="O23" s="823">
        <f t="shared" si="13"/>
        <v>527915.06995562511</v>
      </c>
      <c r="P23" s="823">
        <f>'Gas Adj'!$CC$32</f>
        <v>8654.3466592708137</v>
      </c>
      <c r="Q23" s="823"/>
      <c r="R23" s="823"/>
      <c r="S23" s="823">
        <f t="shared" si="14"/>
        <v>8654.3466592708137</v>
      </c>
      <c r="T23" s="823">
        <f t="shared" si="15"/>
        <v>536569.41661489592</v>
      </c>
      <c r="U23" s="823">
        <f>'Gas Adj'!$CE$32</f>
        <v>0</v>
      </c>
      <c r="V23" s="823"/>
      <c r="W23" s="823"/>
      <c r="X23" s="823"/>
      <c r="Y23" s="823">
        <f t="shared" si="16"/>
        <v>0</v>
      </c>
      <c r="Z23" s="823">
        <f t="shared" si="17"/>
        <v>536569.41661489592</v>
      </c>
      <c r="AA23" s="823">
        <f>'Gas Adj'!$CG$32</f>
        <v>-527915.05325197882</v>
      </c>
      <c r="AB23" s="823"/>
      <c r="AC23" s="823"/>
      <c r="AD23" s="823">
        <f t="shared" si="18"/>
        <v>-527915.05325197882</v>
      </c>
      <c r="AE23" s="823">
        <f t="shared" si="19"/>
        <v>8654.3633629170945</v>
      </c>
      <c r="AF23" s="822" t="s">
        <v>1780</v>
      </c>
    </row>
    <row r="24" spans="1:32" x14ac:dyDescent="0.35">
      <c r="B24" s="268" t="s">
        <v>1252</v>
      </c>
      <c r="C24" s="831" t="s">
        <v>1253</v>
      </c>
      <c r="D24" s="823">
        <v>358927.05</v>
      </c>
      <c r="E24" s="823"/>
      <c r="F24" s="823"/>
      <c r="G24" s="823"/>
      <c r="H24" s="823"/>
      <c r="I24" s="823">
        <f t="shared" si="10"/>
        <v>0</v>
      </c>
      <c r="J24" s="823">
        <f t="shared" si="11"/>
        <v>358927.05</v>
      </c>
      <c r="K24" s="823">
        <f>'Gas Adj'!$CA$35</f>
        <v>370891.0083333333</v>
      </c>
      <c r="L24" s="823"/>
      <c r="M24" s="823"/>
      <c r="N24" s="823">
        <f t="shared" si="12"/>
        <v>370891.0083333333</v>
      </c>
      <c r="O24" s="823">
        <f t="shared" si="13"/>
        <v>729818.05833333335</v>
      </c>
      <c r="P24" s="823">
        <f>'Gas Adj'!$CC$35</f>
        <v>11963.964166666614</v>
      </c>
      <c r="Q24" s="823"/>
      <c r="R24" s="823"/>
      <c r="S24" s="823">
        <f t="shared" si="14"/>
        <v>11963.964166666614</v>
      </c>
      <c r="T24" s="823">
        <f t="shared" si="15"/>
        <v>741782.02249999996</v>
      </c>
      <c r="U24" s="823">
        <f>'Gas Adj'!$CE$35</f>
        <v>0</v>
      </c>
      <c r="V24" s="823"/>
      <c r="W24" s="823"/>
      <c r="X24" s="823"/>
      <c r="Y24" s="823">
        <f t="shared" si="16"/>
        <v>0</v>
      </c>
      <c r="Z24" s="823">
        <f t="shared" si="17"/>
        <v>741782.02249999996</v>
      </c>
      <c r="AA24" s="823">
        <f>'Gas Adj'!$CG$35</f>
        <v>-729818.0166666666</v>
      </c>
      <c r="AB24" s="823"/>
      <c r="AC24" s="823"/>
      <c r="AD24" s="823">
        <f t="shared" si="18"/>
        <v>-729818.0166666666</v>
      </c>
      <c r="AE24" s="823">
        <f t="shared" si="19"/>
        <v>11964.005833333358</v>
      </c>
      <c r="AF24" s="822" t="s">
        <v>1780</v>
      </c>
    </row>
    <row r="25" spans="1:32" x14ac:dyDescent="0.35">
      <c r="A25" t="s">
        <v>1254</v>
      </c>
      <c r="B25" s="828" t="s">
        <v>1255</v>
      </c>
      <c r="C25" s="823" t="s">
        <v>1256</v>
      </c>
      <c r="D25" s="823">
        <v>0</v>
      </c>
      <c r="E25" s="823"/>
      <c r="F25" s="823"/>
      <c r="G25" s="823"/>
      <c r="H25" s="823"/>
      <c r="I25" s="823">
        <f t="shared" si="10"/>
        <v>0</v>
      </c>
      <c r="J25" s="823">
        <f t="shared" si="11"/>
        <v>0</v>
      </c>
      <c r="K25" s="823">
        <f>'Gas Adj'!$CA$43</f>
        <v>155878.90935166666</v>
      </c>
      <c r="L25" s="823"/>
      <c r="M25" s="823"/>
      <c r="N25" s="823">
        <f t="shared" si="12"/>
        <v>155878.90935166666</v>
      </c>
      <c r="O25" s="823">
        <f t="shared" si="13"/>
        <v>155878.90935166666</v>
      </c>
      <c r="P25" s="823">
        <f>'Gas Adj'!$CC$43</f>
        <v>1714668.0028683334</v>
      </c>
      <c r="Q25" s="823"/>
      <c r="R25" s="823"/>
      <c r="S25" s="823">
        <f t="shared" si="14"/>
        <v>1714668.0028683334</v>
      </c>
      <c r="T25" s="823">
        <f t="shared" si="15"/>
        <v>1870546.9122200001</v>
      </c>
      <c r="U25" s="823">
        <f>'Gas Adj'!$CE$43</f>
        <v>0</v>
      </c>
      <c r="V25" s="823"/>
      <c r="W25" s="823"/>
      <c r="X25" s="823"/>
      <c r="Y25" s="823">
        <f t="shared" si="16"/>
        <v>0</v>
      </c>
      <c r="Z25" s="823">
        <f t="shared" si="17"/>
        <v>1870546.9122200001</v>
      </c>
      <c r="AA25" s="823">
        <f>'Gas Adj'!$CG$43</f>
        <v>0</v>
      </c>
      <c r="AB25" s="823"/>
      <c r="AC25" s="823"/>
      <c r="AD25" s="823">
        <f t="shared" si="18"/>
        <v>0</v>
      </c>
      <c r="AE25" s="823">
        <f t="shared" si="19"/>
        <v>1870546.9122200001</v>
      </c>
      <c r="AF25" s="822" t="s">
        <v>1257</v>
      </c>
    </row>
    <row r="26" spans="1:32" x14ac:dyDescent="0.35">
      <c r="A26" t="s">
        <v>1254</v>
      </c>
      <c r="B26" s="828" t="s">
        <v>1804</v>
      </c>
      <c r="C26" s="823" t="s">
        <v>1805</v>
      </c>
      <c r="D26" s="823"/>
      <c r="E26" s="823"/>
      <c r="F26" s="823"/>
      <c r="G26" s="823"/>
      <c r="H26" s="823"/>
      <c r="I26" s="823">
        <f t="shared" ref="I26" si="30">SUM(E26:H26)</f>
        <v>0</v>
      </c>
      <c r="J26" s="823">
        <f t="shared" ref="J26" si="31">I26+D26</f>
        <v>0</v>
      </c>
      <c r="K26" s="823"/>
      <c r="L26" s="823"/>
      <c r="M26" s="823"/>
      <c r="N26" s="823">
        <f t="shared" ref="N26" si="32">SUM(K26:M26)</f>
        <v>0</v>
      </c>
      <c r="O26" s="823">
        <f t="shared" ref="O26" si="33">N26+J26</f>
        <v>0</v>
      </c>
      <c r="P26" s="823"/>
      <c r="Q26" s="823"/>
      <c r="R26" s="823"/>
      <c r="S26" s="823">
        <f t="shared" ref="S26" si="34">SUM(P26:R26)</f>
        <v>0</v>
      </c>
      <c r="T26" s="823">
        <f t="shared" ref="T26" si="35">S26+O26</f>
        <v>0</v>
      </c>
      <c r="U26" s="823"/>
      <c r="V26" s="823"/>
      <c r="W26" s="823"/>
      <c r="X26" s="823"/>
      <c r="Y26" s="823">
        <f t="shared" ref="Y26" si="36">SUM(U26:X26)</f>
        <v>0</v>
      </c>
      <c r="Z26" s="823">
        <f t="shared" ref="Z26" si="37">Y26+T26</f>
        <v>0</v>
      </c>
      <c r="AA26" s="823"/>
      <c r="AB26" s="823"/>
      <c r="AC26" s="823"/>
      <c r="AD26" s="823">
        <f t="shared" ref="AD26" si="38">SUM(AA26:AC26)</f>
        <v>0</v>
      </c>
      <c r="AE26" s="823">
        <f t="shared" ref="AE26" si="39">AD26+Z26</f>
        <v>0</v>
      </c>
      <c r="AF26" s="822" t="s">
        <v>1806</v>
      </c>
    </row>
    <row r="27" spans="1:32" x14ac:dyDescent="0.35">
      <c r="B27" s="268" t="s">
        <v>1258</v>
      </c>
      <c r="C27" s="820" t="s">
        <v>1098</v>
      </c>
      <c r="D27" s="823">
        <v>-357714</v>
      </c>
      <c r="E27" s="823">
        <f t="shared" ref="E27:E32" si="40">-D27</f>
        <v>357714</v>
      </c>
      <c r="F27" s="823"/>
      <c r="G27" s="823"/>
      <c r="H27" s="823"/>
      <c r="I27" s="823">
        <f t="shared" si="10"/>
        <v>357714</v>
      </c>
      <c r="J27" s="823">
        <f t="shared" si="11"/>
        <v>0</v>
      </c>
      <c r="K27" s="823"/>
      <c r="L27" s="823"/>
      <c r="M27" s="823"/>
      <c r="N27" s="823">
        <f t="shared" si="12"/>
        <v>0</v>
      </c>
      <c r="O27" s="823">
        <f t="shared" si="13"/>
        <v>0</v>
      </c>
      <c r="P27" s="823"/>
      <c r="Q27" s="823"/>
      <c r="R27" s="823"/>
      <c r="S27" s="823">
        <f t="shared" si="14"/>
        <v>0</v>
      </c>
      <c r="T27" s="823">
        <f t="shared" si="15"/>
        <v>0</v>
      </c>
      <c r="U27" s="823"/>
      <c r="V27" s="823"/>
      <c r="W27" s="823">
        <f>'Detailed Summary'!AB224</f>
        <v>4718449.8108259197</v>
      </c>
      <c r="X27" s="823"/>
      <c r="Y27" s="823">
        <f t="shared" si="16"/>
        <v>4718449.8108259197</v>
      </c>
      <c r="Z27" s="823">
        <f t="shared" si="17"/>
        <v>4718449.8108259197</v>
      </c>
      <c r="AA27" s="823"/>
      <c r="AB27" s="823"/>
      <c r="AC27" s="823"/>
      <c r="AD27" s="823">
        <f t="shared" si="18"/>
        <v>0</v>
      </c>
      <c r="AE27" s="823">
        <f t="shared" si="19"/>
        <v>4718449.8108259197</v>
      </c>
      <c r="AF27" s="822" t="s">
        <v>1782</v>
      </c>
    </row>
    <row r="28" spans="1:32" x14ac:dyDescent="0.35">
      <c r="B28" s="268" t="s">
        <v>1259</v>
      </c>
      <c r="C28" s="820" t="s">
        <v>1099</v>
      </c>
      <c r="D28" s="823">
        <v>1404187</v>
      </c>
      <c r="E28" s="823"/>
      <c r="F28" s="823"/>
      <c r="G28" s="823">
        <f>-D28</f>
        <v>-1404187</v>
      </c>
      <c r="H28" s="823"/>
      <c r="I28" s="823">
        <f t="shared" si="10"/>
        <v>-1404187</v>
      </c>
      <c r="J28" s="823">
        <f t="shared" si="11"/>
        <v>0</v>
      </c>
      <c r="K28" s="823"/>
      <c r="L28" s="823"/>
      <c r="M28" s="823"/>
      <c r="N28" s="823">
        <f t="shared" si="12"/>
        <v>0</v>
      </c>
      <c r="O28" s="823">
        <f t="shared" si="13"/>
        <v>0</v>
      </c>
      <c r="P28" s="823"/>
      <c r="Q28" s="823"/>
      <c r="R28" s="823"/>
      <c r="S28" s="823">
        <f t="shared" si="14"/>
        <v>0</v>
      </c>
      <c r="T28" s="823">
        <f t="shared" si="15"/>
        <v>0</v>
      </c>
      <c r="U28" s="823"/>
      <c r="V28" s="823"/>
      <c r="W28" s="823"/>
      <c r="X28" s="823"/>
      <c r="Y28" s="823">
        <f t="shared" si="16"/>
        <v>0</v>
      </c>
      <c r="Z28" s="823">
        <f t="shared" si="17"/>
        <v>0</v>
      </c>
      <c r="AA28" s="823"/>
      <c r="AB28" s="823"/>
      <c r="AC28" s="823">
        <f>'Common Adj'!VC22</f>
        <v>0</v>
      </c>
      <c r="AD28" s="823">
        <f t="shared" si="18"/>
        <v>0</v>
      </c>
      <c r="AE28" s="823">
        <f t="shared" si="19"/>
        <v>0</v>
      </c>
      <c r="AF28" s="822" t="s">
        <v>1785</v>
      </c>
    </row>
    <row r="29" spans="1:32" x14ac:dyDescent="0.35">
      <c r="A29" t="s">
        <v>1254</v>
      </c>
      <c r="B29" s="268" t="s">
        <v>1783</v>
      </c>
      <c r="C29" s="820" t="s">
        <v>1784</v>
      </c>
      <c r="D29" s="823"/>
      <c r="E29" s="823"/>
      <c r="F29" s="823"/>
      <c r="G29" s="823"/>
      <c r="H29" s="823"/>
      <c r="I29" s="823">
        <f t="shared" ref="I29" si="41">SUM(E29:H29)</f>
        <v>0</v>
      </c>
      <c r="J29" s="823">
        <f t="shared" ref="J29" si="42">I29+D29</f>
        <v>0</v>
      </c>
      <c r="K29" s="823"/>
      <c r="L29" s="823"/>
      <c r="M29" s="823"/>
      <c r="N29" s="823">
        <f t="shared" ref="N29" si="43">SUM(K29:M29)</f>
        <v>0</v>
      </c>
      <c r="O29" s="823">
        <f t="shared" ref="O29" si="44">N29+J29</f>
        <v>0</v>
      </c>
      <c r="P29" s="823"/>
      <c r="Q29" s="823"/>
      <c r="R29" s="823"/>
      <c r="S29" s="823">
        <f t="shared" ref="S29" si="45">SUM(P29:R29)</f>
        <v>0</v>
      </c>
      <c r="T29" s="823">
        <f t="shared" ref="T29" si="46">S29+O29</f>
        <v>0</v>
      </c>
      <c r="U29" s="823"/>
      <c r="V29" s="823"/>
      <c r="W29" s="823"/>
      <c r="X29" s="823">
        <f>'Common Adj'!VA22</f>
        <v>2403256.8895737054</v>
      </c>
      <c r="Y29" s="823">
        <f t="shared" ref="Y29" si="47">SUM(U29:X29)</f>
        <v>2403256.8895737054</v>
      </c>
      <c r="Z29" s="823">
        <f t="shared" ref="Z29" si="48">Y29+T29</f>
        <v>2403256.8895737054</v>
      </c>
      <c r="AA29" s="823"/>
      <c r="AB29" s="823"/>
      <c r="AC29" s="823"/>
      <c r="AD29" s="823">
        <f t="shared" ref="AD29" si="49">SUM(AA29:AC29)</f>
        <v>0</v>
      </c>
      <c r="AE29" s="823">
        <f t="shared" ref="AE29" si="50">AD29+Z29</f>
        <v>2403256.8895737054</v>
      </c>
      <c r="AF29" s="822" t="s">
        <v>1786</v>
      </c>
    </row>
    <row r="30" spans="1:32" x14ac:dyDescent="0.35">
      <c r="B30" s="268" t="s">
        <v>1260</v>
      </c>
      <c r="C30" s="820" t="s">
        <v>1261</v>
      </c>
      <c r="D30" s="823">
        <v>-129012602</v>
      </c>
      <c r="E30" s="823">
        <f t="shared" si="40"/>
        <v>129012602</v>
      </c>
      <c r="F30" s="823"/>
      <c r="G30" s="823"/>
      <c r="H30" s="823"/>
      <c r="I30" s="823">
        <f t="shared" si="10"/>
        <v>129012602</v>
      </c>
      <c r="J30" s="823">
        <f t="shared" si="11"/>
        <v>0</v>
      </c>
      <c r="K30" s="823"/>
      <c r="L30" s="823"/>
      <c r="M30" s="823"/>
      <c r="N30" s="823">
        <f t="shared" si="12"/>
        <v>0</v>
      </c>
      <c r="O30" s="823">
        <f t="shared" si="13"/>
        <v>0</v>
      </c>
      <c r="P30" s="823"/>
      <c r="Q30" s="823"/>
      <c r="R30" s="823"/>
      <c r="S30" s="823">
        <f t="shared" si="14"/>
        <v>0</v>
      </c>
      <c r="T30" s="823">
        <f t="shared" si="15"/>
        <v>0</v>
      </c>
      <c r="U30" s="823"/>
      <c r="V30" s="823"/>
      <c r="W30" s="823"/>
      <c r="X30" s="823"/>
      <c r="Y30" s="823">
        <f t="shared" si="16"/>
        <v>0</v>
      </c>
      <c r="Z30" s="823">
        <f t="shared" si="17"/>
        <v>0</v>
      </c>
      <c r="AA30" s="823"/>
      <c r="AB30" s="823"/>
      <c r="AC30" s="823"/>
      <c r="AD30" s="823">
        <f t="shared" si="18"/>
        <v>0</v>
      </c>
      <c r="AE30" s="823">
        <f t="shared" si="19"/>
        <v>0</v>
      </c>
      <c r="AF30" s="822" t="s">
        <v>1787</v>
      </c>
    </row>
    <row r="31" spans="1:32" x14ac:dyDescent="0.35">
      <c r="B31" s="268" t="s">
        <v>1262</v>
      </c>
      <c r="C31" s="831" t="s">
        <v>1263</v>
      </c>
      <c r="D31" s="823">
        <v>1907892</v>
      </c>
      <c r="E31" s="823"/>
      <c r="F31" s="823"/>
      <c r="G31" s="823"/>
      <c r="H31" s="823"/>
      <c r="I31" s="823">
        <f t="shared" si="10"/>
        <v>0</v>
      </c>
      <c r="J31" s="823">
        <f t="shared" si="11"/>
        <v>1907892</v>
      </c>
      <c r="K31" s="823">
        <f>'Gas Adj'!$CA$34</f>
        <v>-476973.74250000017</v>
      </c>
      <c r="L31" s="823"/>
      <c r="M31" s="823"/>
      <c r="N31" s="823">
        <f t="shared" si="12"/>
        <v>-476973.74250000017</v>
      </c>
      <c r="O31" s="823">
        <f t="shared" si="13"/>
        <v>1430918.2574999998</v>
      </c>
      <c r="P31" s="823">
        <f>'Gas Adj'!$CC$34</f>
        <v>-1430921.2275000003</v>
      </c>
      <c r="Q31" s="823"/>
      <c r="R31" s="823"/>
      <c r="S31" s="823">
        <f t="shared" si="14"/>
        <v>-1430921.2275000003</v>
      </c>
      <c r="T31" s="823">
        <f t="shared" si="15"/>
        <v>-2.9700000004377216</v>
      </c>
      <c r="U31" s="823">
        <f>'Gas Adj'!$CE$34</f>
        <v>0</v>
      </c>
      <c r="V31" s="823"/>
      <c r="W31" s="823"/>
      <c r="X31" s="823"/>
      <c r="Y31" s="823">
        <f t="shared" si="16"/>
        <v>0</v>
      </c>
      <c r="Z31" s="823">
        <f t="shared" si="17"/>
        <v>-2.9700000004377216</v>
      </c>
      <c r="AA31" s="823">
        <f>'Gas Adj'!$CG$34</f>
        <v>0</v>
      </c>
      <c r="AB31" s="823"/>
      <c r="AC31" s="823"/>
      <c r="AD31" s="823">
        <f t="shared" si="18"/>
        <v>0</v>
      </c>
      <c r="AE31" s="823">
        <f t="shared" si="19"/>
        <v>-2.9700000004377216</v>
      </c>
      <c r="AF31" s="822" t="s">
        <v>1788</v>
      </c>
    </row>
    <row r="32" spans="1:32" x14ac:dyDescent="0.35">
      <c r="B32" s="268" t="s">
        <v>1264</v>
      </c>
      <c r="C32" s="820" t="s">
        <v>1100</v>
      </c>
      <c r="D32" s="1104">
        <v>-1797873.5130000003</v>
      </c>
      <c r="E32" s="823">
        <f t="shared" si="40"/>
        <v>1797873.5130000003</v>
      </c>
      <c r="F32" s="823"/>
      <c r="G32" s="823"/>
      <c r="H32" s="823"/>
      <c r="I32" s="823">
        <f t="shared" si="10"/>
        <v>1797873.5130000003</v>
      </c>
      <c r="J32" s="823">
        <f t="shared" si="11"/>
        <v>0</v>
      </c>
      <c r="K32" s="823"/>
      <c r="L32" s="823"/>
      <c r="M32" s="823"/>
      <c r="N32" s="823">
        <f t="shared" si="12"/>
        <v>0</v>
      </c>
      <c r="O32" s="823">
        <f t="shared" si="13"/>
        <v>0</v>
      </c>
      <c r="P32" s="823"/>
      <c r="Q32" s="823"/>
      <c r="R32" s="823"/>
      <c r="S32" s="823">
        <f t="shared" si="14"/>
        <v>0</v>
      </c>
      <c r="T32" s="823">
        <f t="shared" si="15"/>
        <v>0</v>
      </c>
      <c r="U32" s="823"/>
      <c r="V32" s="823"/>
      <c r="W32" s="823"/>
      <c r="X32" s="823"/>
      <c r="Y32" s="823">
        <f t="shared" si="16"/>
        <v>0</v>
      </c>
      <c r="Z32" s="823">
        <f t="shared" si="17"/>
        <v>0</v>
      </c>
      <c r="AA32" s="823"/>
      <c r="AB32" s="823"/>
      <c r="AC32" s="823"/>
      <c r="AD32" s="823">
        <f t="shared" si="18"/>
        <v>0</v>
      </c>
      <c r="AE32" s="823">
        <f t="shared" si="19"/>
        <v>0</v>
      </c>
      <c r="AF32" s="822" t="s">
        <v>1782</v>
      </c>
    </row>
    <row r="33" spans="2:32" x14ac:dyDescent="0.35">
      <c r="B33" s="268" t="s">
        <v>1265</v>
      </c>
      <c r="C33" s="820" t="s">
        <v>1101</v>
      </c>
      <c r="D33" s="823">
        <v>-6303194.4900000002</v>
      </c>
      <c r="E33" s="823"/>
      <c r="F33" s="823"/>
      <c r="G33" s="823"/>
      <c r="H33" s="823"/>
      <c r="I33" s="823">
        <f>SUM(E33:H33)+1</f>
        <v>1</v>
      </c>
      <c r="J33" s="823">
        <f t="shared" si="11"/>
        <v>-6303193.4900000002</v>
      </c>
      <c r="K33" s="823"/>
      <c r="L33" s="823"/>
      <c r="M33" s="823">
        <f>-J33</f>
        <v>6303193.4900000002</v>
      </c>
      <c r="N33" s="823">
        <f t="shared" si="12"/>
        <v>6303193.4900000002</v>
      </c>
      <c r="O33" s="823">
        <f>N33+J33-1</f>
        <v>-1</v>
      </c>
      <c r="P33" s="823"/>
      <c r="Q33" s="823"/>
      <c r="R33" s="823"/>
      <c r="S33" s="823">
        <f t="shared" si="14"/>
        <v>0</v>
      </c>
      <c r="T33" s="823">
        <f t="shared" si="15"/>
        <v>-1</v>
      </c>
      <c r="U33" s="823"/>
      <c r="V33" s="823"/>
      <c r="W33" s="823"/>
      <c r="X33" s="823"/>
      <c r="Y33" s="823">
        <f t="shared" si="16"/>
        <v>0</v>
      </c>
      <c r="Z33" s="823">
        <f t="shared" si="17"/>
        <v>-1</v>
      </c>
      <c r="AA33" s="823"/>
      <c r="AB33" s="823"/>
      <c r="AC33" s="823"/>
      <c r="AD33" s="823">
        <f t="shared" si="18"/>
        <v>0</v>
      </c>
      <c r="AE33" s="823">
        <f t="shared" si="19"/>
        <v>-1</v>
      </c>
      <c r="AF33" s="822" t="s">
        <v>1789</v>
      </c>
    </row>
    <row r="34" spans="2:32" x14ac:dyDescent="0.35">
      <c r="B34" s="268" t="s">
        <v>1266</v>
      </c>
      <c r="C34" s="820" t="s">
        <v>1099</v>
      </c>
      <c r="D34" s="823">
        <v>-3019114.49</v>
      </c>
      <c r="E34" s="823"/>
      <c r="F34" s="823"/>
      <c r="G34" s="823">
        <f>-D34</f>
        <v>3019114.49</v>
      </c>
      <c r="H34" s="823"/>
      <c r="I34" s="823">
        <f t="shared" si="10"/>
        <v>3019114.49</v>
      </c>
      <c r="J34" s="823">
        <f t="shared" si="11"/>
        <v>0</v>
      </c>
      <c r="K34" s="823"/>
      <c r="L34" s="823"/>
      <c r="M34" s="823"/>
      <c r="N34" s="823">
        <f t="shared" si="12"/>
        <v>0</v>
      </c>
      <c r="O34" s="823">
        <f t="shared" si="13"/>
        <v>0</v>
      </c>
      <c r="P34" s="823"/>
      <c r="Q34" s="823"/>
      <c r="R34" s="823"/>
      <c r="S34" s="823">
        <f t="shared" si="14"/>
        <v>0</v>
      </c>
      <c r="T34" s="823">
        <f t="shared" si="15"/>
        <v>0</v>
      </c>
      <c r="U34" s="823"/>
      <c r="V34" s="823"/>
      <c r="W34" s="823"/>
      <c r="X34" s="823"/>
      <c r="Y34" s="823">
        <f t="shared" si="16"/>
        <v>0</v>
      </c>
      <c r="Z34" s="823">
        <f t="shared" si="17"/>
        <v>0</v>
      </c>
      <c r="AA34" s="823"/>
      <c r="AB34" s="823"/>
      <c r="AC34" s="823"/>
      <c r="AD34" s="823">
        <f t="shared" si="18"/>
        <v>0</v>
      </c>
      <c r="AE34" s="823">
        <f t="shared" si="19"/>
        <v>0</v>
      </c>
      <c r="AF34" s="822" t="s">
        <v>1785</v>
      </c>
    </row>
    <row r="35" spans="2:32" x14ac:dyDescent="0.35">
      <c r="B35" s="268" t="s">
        <v>1267</v>
      </c>
      <c r="C35" s="820" t="s">
        <v>1268</v>
      </c>
      <c r="D35" s="823">
        <v>923313.3</v>
      </c>
      <c r="E35" s="823"/>
      <c r="F35" s="823"/>
      <c r="G35" s="823"/>
      <c r="H35" s="823">
        <v>984867.93666666676</v>
      </c>
      <c r="I35" s="823">
        <f t="shared" si="10"/>
        <v>984867.93666666676</v>
      </c>
      <c r="J35" s="823">
        <f t="shared" si="11"/>
        <v>1908181.2366666668</v>
      </c>
      <c r="K35" s="823"/>
      <c r="L35" s="823"/>
      <c r="M35" s="823"/>
      <c r="N35" s="823">
        <f t="shared" si="12"/>
        <v>0</v>
      </c>
      <c r="O35" s="823">
        <f t="shared" si="13"/>
        <v>1908181.2366666668</v>
      </c>
      <c r="P35" s="823"/>
      <c r="Q35" s="823"/>
      <c r="R35" s="823"/>
      <c r="S35" s="823">
        <f t="shared" si="14"/>
        <v>0</v>
      </c>
      <c r="T35" s="823">
        <f t="shared" si="15"/>
        <v>1908181.2366666668</v>
      </c>
      <c r="U35" s="823"/>
      <c r="V35" s="823"/>
      <c r="W35" s="823"/>
      <c r="X35" s="823"/>
      <c r="Y35" s="823">
        <f t="shared" si="16"/>
        <v>0</v>
      </c>
      <c r="Z35" s="823">
        <f t="shared" si="17"/>
        <v>1908181.2366666668</v>
      </c>
      <c r="AA35" s="823"/>
      <c r="AB35" s="823"/>
      <c r="AC35" s="823">
        <v>-1877404.0336111074</v>
      </c>
      <c r="AD35" s="823">
        <f t="shared" si="18"/>
        <v>-1877404.0336111074</v>
      </c>
      <c r="AE35" s="823">
        <f t="shared" si="19"/>
        <v>30777.203055559425</v>
      </c>
      <c r="AF35" s="822" t="s">
        <v>1791</v>
      </c>
    </row>
    <row r="36" spans="2:32" x14ac:dyDescent="0.35">
      <c r="D36" s="823"/>
      <c r="E36" s="823"/>
      <c r="F36" s="823"/>
      <c r="G36" s="823"/>
      <c r="H36" s="823"/>
      <c r="I36" s="823"/>
      <c r="J36" s="823"/>
      <c r="K36" s="823"/>
      <c r="L36" s="823"/>
      <c r="M36" s="823"/>
      <c r="N36" s="823">
        <f t="shared" si="12"/>
        <v>0</v>
      </c>
      <c r="O36" s="823">
        <f t="shared" si="13"/>
        <v>0</v>
      </c>
      <c r="P36" s="823"/>
      <c r="Q36" s="823"/>
      <c r="R36" s="823"/>
      <c r="S36" s="823">
        <f t="shared" si="14"/>
        <v>0</v>
      </c>
      <c r="T36" s="823">
        <f t="shared" si="15"/>
        <v>0</v>
      </c>
      <c r="U36" s="823"/>
      <c r="V36" s="823"/>
      <c r="W36" s="823"/>
      <c r="X36" s="823"/>
      <c r="Y36" s="823">
        <f t="shared" si="16"/>
        <v>0</v>
      </c>
      <c r="Z36" s="823">
        <f t="shared" si="17"/>
        <v>0</v>
      </c>
      <c r="AA36" s="823"/>
      <c r="AB36" s="823"/>
      <c r="AC36" s="823"/>
      <c r="AD36" s="823">
        <f t="shared" si="18"/>
        <v>0</v>
      </c>
      <c r="AE36" s="823">
        <f t="shared" si="19"/>
        <v>0</v>
      </c>
    </row>
    <row r="37" spans="2:32" x14ac:dyDescent="0.35">
      <c r="D37" s="821"/>
      <c r="E37" s="758"/>
      <c r="F37" s="758"/>
      <c r="G37" s="758"/>
      <c r="H37" s="758"/>
      <c r="I37" s="758">
        <f t="shared" si="10"/>
        <v>0</v>
      </c>
      <c r="J37" s="821">
        <f t="shared" si="11"/>
        <v>0</v>
      </c>
      <c r="K37" s="758"/>
      <c r="L37" s="758"/>
      <c r="M37" s="758"/>
      <c r="N37" s="758">
        <f t="shared" si="12"/>
        <v>0</v>
      </c>
      <c r="O37" s="821">
        <f t="shared" si="13"/>
        <v>0</v>
      </c>
      <c r="P37" s="758"/>
      <c r="Q37" s="758"/>
      <c r="R37" s="758"/>
      <c r="S37" s="758">
        <f t="shared" si="14"/>
        <v>0</v>
      </c>
      <c r="T37" s="821">
        <f t="shared" si="15"/>
        <v>0</v>
      </c>
      <c r="U37" s="758"/>
      <c r="V37" s="758"/>
      <c r="W37" s="758"/>
      <c r="X37" s="758"/>
      <c r="Y37" s="758">
        <f t="shared" si="16"/>
        <v>0</v>
      </c>
      <c r="Z37" s="821">
        <f t="shared" si="17"/>
        <v>0</v>
      </c>
      <c r="AA37" s="758"/>
      <c r="AB37" s="758"/>
      <c r="AC37" s="758"/>
      <c r="AD37" s="758">
        <f t="shared" si="18"/>
        <v>0</v>
      </c>
      <c r="AE37" s="821">
        <f t="shared" si="19"/>
        <v>0</v>
      </c>
    </row>
    <row r="38" spans="2:32" x14ac:dyDescent="0.35">
      <c r="D38" s="821"/>
      <c r="E38" s="758"/>
      <c r="F38" s="758"/>
      <c r="G38" s="758"/>
      <c r="H38" s="758"/>
      <c r="I38" s="758">
        <f t="shared" si="10"/>
        <v>0</v>
      </c>
      <c r="J38" s="821">
        <f t="shared" si="11"/>
        <v>0</v>
      </c>
      <c r="K38" s="758"/>
      <c r="L38" s="758"/>
      <c r="M38" s="758"/>
      <c r="N38" s="758">
        <f t="shared" si="12"/>
        <v>0</v>
      </c>
      <c r="O38" s="821">
        <f t="shared" si="13"/>
        <v>0</v>
      </c>
      <c r="P38" s="758"/>
      <c r="Q38" s="758"/>
      <c r="R38" s="758"/>
      <c r="S38" s="758">
        <f t="shared" si="14"/>
        <v>0</v>
      </c>
      <c r="T38" s="821">
        <f t="shared" si="15"/>
        <v>0</v>
      </c>
      <c r="U38" s="758"/>
      <c r="V38" s="758"/>
      <c r="W38" s="758"/>
      <c r="X38" s="758"/>
      <c r="Y38" s="758">
        <f t="shared" si="16"/>
        <v>0</v>
      </c>
      <c r="Z38" s="821">
        <f t="shared" si="17"/>
        <v>0</v>
      </c>
      <c r="AA38" s="758"/>
      <c r="AB38" s="758"/>
      <c r="AC38" s="758"/>
      <c r="AD38" s="758">
        <f t="shared" si="18"/>
        <v>0</v>
      </c>
      <c r="AE38" s="821">
        <f t="shared" si="19"/>
        <v>0</v>
      </c>
    </row>
    <row r="39" spans="2:32" x14ac:dyDescent="0.35">
      <c r="D39" s="821"/>
      <c r="E39" s="758"/>
      <c r="F39" s="758"/>
      <c r="G39" s="758"/>
      <c r="H39" s="758"/>
      <c r="I39" s="758">
        <f t="shared" si="10"/>
        <v>0</v>
      </c>
      <c r="J39" s="821">
        <f t="shared" si="11"/>
        <v>0</v>
      </c>
      <c r="K39" s="758"/>
      <c r="L39" s="758"/>
      <c r="M39" s="758"/>
      <c r="N39" s="758">
        <f t="shared" si="12"/>
        <v>0</v>
      </c>
      <c r="O39" s="821">
        <f t="shared" si="13"/>
        <v>0</v>
      </c>
      <c r="P39" s="758"/>
      <c r="Q39" s="758"/>
      <c r="R39" s="758"/>
      <c r="S39" s="758">
        <f t="shared" si="14"/>
        <v>0</v>
      </c>
      <c r="T39" s="821">
        <f t="shared" si="15"/>
        <v>0</v>
      </c>
      <c r="U39" s="758"/>
      <c r="V39" s="758"/>
      <c r="W39" s="758"/>
      <c r="X39" s="758"/>
      <c r="Y39" s="758">
        <f t="shared" si="16"/>
        <v>0</v>
      </c>
      <c r="Z39" s="821">
        <f t="shared" si="17"/>
        <v>0</v>
      </c>
      <c r="AA39" s="758"/>
      <c r="AB39" s="758"/>
      <c r="AC39" s="758"/>
      <c r="AD39" s="758">
        <f t="shared" si="18"/>
        <v>0</v>
      </c>
      <c r="AE39" s="821">
        <f t="shared" si="19"/>
        <v>0</v>
      </c>
    </row>
    <row r="40" spans="2:32" x14ac:dyDescent="0.35">
      <c r="D40" s="821"/>
      <c r="E40" s="758"/>
      <c r="F40" s="758"/>
      <c r="G40" s="758"/>
      <c r="H40" s="758"/>
      <c r="I40" s="758">
        <f t="shared" si="10"/>
        <v>0</v>
      </c>
      <c r="J40" s="821">
        <f t="shared" si="11"/>
        <v>0</v>
      </c>
      <c r="K40" s="758"/>
      <c r="L40" s="758"/>
      <c r="M40" s="758"/>
      <c r="N40" s="758">
        <f t="shared" si="12"/>
        <v>0</v>
      </c>
      <c r="O40" s="821">
        <f t="shared" si="13"/>
        <v>0</v>
      </c>
      <c r="P40" s="758"/>
      <c r="Q40" s="758"/>
      <c r="R40" s="758"/>
      <c r="S40" s="758">
        <f t="shared" si="14"/>
        <v>0</v>
      </c>
      <c r="T40" s="821">
        <f t="shared" si="15"/>
        <v>0</v>
      </c>
      <c r="U40" s="758"/>
      <c r="V40" s="758"/>
      <c r="W40" s="758"/>
      <c r="X40" s="758"/>
      <c r="Y40" s="758">
        <f t="shared" si="16"/>
        <v>0</v>
      </c>
      <c r="Z40" s="821">
        <f t="shared" si="17"/>
        <v>0</v>
      </c>
      <c r="AA40" s="758"/>
      <c r="AB40" s="758"/>
      <c r="AC40" s="758"/>
      <c r="AD40" s="758">
        <f t="shared" si="18"/>
        <v>0</v>
      </c>
      <c r="AE40" s="821">
        <f t="shared" si="19"/>
        <v>0</v>
      </c>
    </row>
    <row r="41" spans="2:32" x14ac:dyDescent="0.35">
      <c r="D41" s="821"/>
      <c r="E41" s="758"/>
      <c r="F41" s="758"/>
      <c r="G41" s="758"/>
      <c r="H41" s="758"/>
      <c r="I41" s="758">
        <f t="shared" si="10"/>
        <v>0</v>
      </c>
      <c r="J41" s="821">
        <f t="shared" si="11"/>
        <v>0</v>
      </c>
      <c r="K41" s="758"/>
      <c r="L41" s="758"/>
      <c r="M41" s="758"/>
      <c r="N41" s="758">
        <f t="shared" si="12"/>
        <v>0</v>
      </c>
      <c r="O41" s="821">
        <f t="shared" si="13"/>
        <v>0</v>
      </c>
      <c r="P41" s="758"/>
      <c r="Q41" s="758"/>
      <c r="R41" s="758"/>
      <c r="S41" s="758">
        <f t="shared" si="14"/>
        <v>0</v>
      </c>
      <c r="T41" s="821">
        <f t="shared" si="15"/>
        <v>0</v>
      </c>
      <c r="U41" s="758"/>
      <c r="V41" s="758"/>
      <c r="W41" s="758"/>
      <c r="X41" s="758"/>
      <c r="Y41" s="758">
        <f t="shared" si="16"/>
        <v>0</v>
      </c>
      <c r="Z41" s="821">
        <f t="shared" si="17"/>
        <v>0</v>
      </c>
      <c r="AA41" s="758"/>
      <c r="AB41" s="758"/>
      <c r="AC41" s="758"/>
      <c r="AD41" s="758">
        <f t="shared" si="18"/>
        <v>0</v>
      </c>
      <c r="AE41" s="821">
        <f t="shared" si="19"/>
        <v>0</v>
      </c>
    </row>
    <row r="42" spans="2:32" x14ac:dyDescent="0.35">
      <c r="D42" s="821"/>
      <c r="E42" s="758"/>
      <c r="F42" s="758"/>
      <c r="G42" s="758"/>
      <c r="H42" s="758"/>
      <c r="I42" s="758">
        <f t="shared" si="10"/>
        <v>0</v>
      </c>
      <c r="J42" s="821">
        <f t="shared" si="11"/>
        <v>0</v>
      </c>
      <c r="K42" s="758"/>
      <c r="L42" s="758"/>
      <c r="M42" s="758"/>
      <c r="N42" s="758">
        <f t="shared" si="12"/>
        <v>0</v>
      </c>
      <c r="O42" s="821">
        <f t="shared" si="13"/>
        <v>0</v>
      </c>
      <c r="P42" s="758"/>
      <c r="Q42" s="758"/>
      <c r="R42" s="758"/>
      <c r="S42" s="758">
        <f t="shared" si="14"/>
        <v>0</v>
      </c>
      <c r="T42" s="821">
        <f t="shared" si="15"/>
        <v>0</v>
      </c>
      <c r="U42" s="758"/>
      <c r="V42" s="758"/>
      <c r="W42" s="758"/>
      <c r="X42" s="758"/>
      <c r="Y42" s="758">
        <f t="shared" si="16"/>
        <v>0</v>
      </c>
      <c r="Z42" s="821">
        <f t="shared" si="17"/>
        <v>0</v>
      </c>
      <c r="AA42" s="758"/>
      <c r="AB42" s="758"/>
      <c r="AC42" s="758"/>
      <c r="AD42" s="758">
        <f t="shared" si="18"/>
        <v>0</v>
      </c>
      <c r="AE42" s="821">
        <f t="shared" si="19"/>
        <v>0</v>
      </c>
    </row>
    <row r="43" spans="2:32" x14ac:dyDescent="0.35">
      <c r="D43" s="821"/>
      <c r="E43" s="758"/>
      <c r="F43" s="758"/>
      <c r="G43" s="758"/>
      <c r="H43" s="758"/>
      <c r="I43" s="758">
        <f t="shared" si="10"/>
        <v>0</v>
      </c>
      <c r="J43" s="821">
        <f t="shared" si="11"/>
        <v>0</v>
      </c>
      <c r="K43" s="758"/>
      <c r="L43" s="758"/>
      <c r="M43" s="758"/>
      <c r="N43" s="758">
        <f t="shared" si="12"/>
        <v>0</v>
      </c>
      <c r="O43" s="821">
        <f t="shared" si="13"/>
        <v>0</v>
      </c>
      <c r="P43" s="758"/>
      <c r="Q43" s="758"/>
      <c r="R43" s="758"/>
      <c r="S43" s="758">
        <f t="shared" si="14"/>
        <v>0</v>
      </c>
      <c r="T43" s="821">
        <f t="shared" si="15"/>
        <v>0</v>
      </c>
      <c r="U43" s="824"/>
      <c r="V43" s="758"/>
      <c r="W43" s="758"/>
      <c r="X43" s="758"/>
      <c r="Y43" s="758">
        <f t="shared" si="16"/>
        <v>0</v>
      </c>
      <c r="Z43" s="821">
        <f t="shared" si="17"/>
        <v>0</v>
      </c>
      <c r="AA43" s="758"/>
      <c r="AB43" s="758"/>
      <c r="AC43" s="758"/>
      <c r="AD43" s="758">
        <f t="shared" si="18"/>
        <v>0</v>
      </c>
      <c r="AE43" s="821">
        <f t="shared" si="19"/>
        <v>0</v>
      </c>
    </row>
    <row r="44" spans="2:32" x14ac:dyDescent="0.35">
      <c r="D44" s="821"/>
      <c r="E44" s="758"/>
      <c r="F44" s="758"/>
      <c r="G44" s="758"/>
      <c r="H44" s="758"/>
      <c r="I44" s="758">
        <f t="shared" si="10"/>
        <v>0</v>
      </c>
      <c r="J44" s="821">
        <f t="shared" si="11"/>
        <v>0</v>
      </c>
      <c r="K44" s="758"/>
      <c r="L44" s="758"/>
      <c r="M44" s="758"/>
      <c r="N44" s="758">
        <f t="shared" si="12"/>
        <v>0</v>
      </c>
      <c r="O44" s="821">
        <f t="shared" si="13"/>
        <v>0</v>
      </c>
      <c r="P44" s="758"/>
      <c r="Q44" s="758"/>
      <c r="R44" s="758"/>
      <c r="S44" s="758">
        <f t="shared" si="14"/>
        <v>0</v>
      </c>
      <c r="T44" s="821">
        <f t="shared" si="15"/>
        <v>0</v>
      </c>
      <c r="U44" s="758"/>
      <c r="V44" s="758"/>
      <c r="W44" s="758"/>
      <c r="X44" s="758"/>
      <c r="Y44" s="758">
        <f t="shared" si="16"/>
        <v>0</v>
      </c>
      <c r="Z44" s="821">
        <f t="shared" si="17"/>
        <v>0</v>
      </c>
      <c r="AA44" s="758"/>
      <c r="AB44" s="758"/>
      <c r="AC44" s="758"/>
      <c r="AD44" s="758">
        <f t="shared" si="18"/>
        <v>0</v>
      </c>
      <c r="AE44" s="821">
        <f t="shared" si="19"/>
        <v>0</v>
      </c>
    </row>
    <row r="45" spans="2:32" x14ac:dyDescent="0.35">
      <c r="D45" s="821"/>
      <c r="E45" s="758"/>
      <c r="F45" s="758"/>
      <c r="G45" s="758"/>
      <c r="H45" s="758"/>
      <c r="I45" s="758">
        <f t="shared" si="10"/>
        <v>0</v>
      </c>
      <c r="J45" s="821">
        <f t="shared" si="11"/>
        <v>0</v>
      </c>
      <c r="K45" s="758"/>
      <c r="L45" s="758"/>
      <c r="M45" s="758"/>
      <c r="N45" s="758">
        <f t="shared" si="12"/>
        <v>0</v>
      </c>
      <c r="O45" s="821">
        <f t="shared" si="13"/>
        <v>0</v>
      </c>
      <c r="P45" s="758"/>
      <c r="Q45" s="758"/>
      <c r="R45" s="758"/>
      <c r="S45" s="758">
        <f t="shared" si="14"/>
        <v>0</v>
      </c>
      <c r="T45" s="821">
        <f t="shared" si="15"/>
        <v>0</v>
      </c>
      <c r="U45" s="758"/>
      <c r="V45" s="758"/>
      <c r="W45" s="758"/>
      <c r="X45" s="758"/>
      <c r="Y45" s="758">
        <f t="shared" si="16"/>
        <v>0</v>
      </c>
      <c r="Z45" s="821">
        <f t="shared" si="17"/>
        <v>0</v>
      </c>
      <c r="AA45" s="758"/>
      <c r="AB45" s="758"/>
      <c r="AC45" s="758"/>
      <c r="AD45" s="758">
        <f t="shared" si="18"/>
        <v>0</v>
      </c>
      <c r="AE45" s="821">
        <f t="shared" si="19"/>
        <v>0</v>
      </c>
    </row>
    <row r="46" spans="2:32" x14ac:dyDescent="0.35">
      <c r="D46" s="821"/>
      <c r="E46" s="758"/>
      <c r="F46" s="758"/>
      <c r="G46" s="758"/>
      <c r="H46" s="758"/>
      <c r="I46" s="758">
        <f t="shared" si="10"/>
        <v>0</v>
      </c>
      <c r="J46" s="821">
        <f t="shared" si="11"/>
        <v>0</v>
      </c>
      <c r="K46" s="758"/>
      <c r="L46" s="758"/>
      <c r="M46" s="758"/>
      <c r="N46" s="758">
        <f t="shared" si="12"/>
        <v>0</v>
      </c>
      <c r="O46" s="821">
        <f t="shared" si="13"/>
        <v>0</v>
      </c>
      <c r="P46" s="758"/>
      <c r="Q46" s="758"/>
      <c r="R46" s="758"/>
      <c r="S46" s="758">
        <f t="shared" si="14"/>
        <v>0</v>
      </c>
      <c r="T46" s="821">
        <f t="shared" si="15"/>
        <v>0</v>
      </c>
      <c r="U46" s="758"/>
      <c r="V46" s="758"/>
      <c r="W46" s="758"/>
      <c r="X46" s="758"/>
      <c r="Y46" s="758">
        <f t="shared" si="16"/>
        <v>0</v>
      </c>
      <c r="Z46" s="821">
        <f t="shared" si="17"/>
        <v>0</v>
      </c>
      <c r="AA46" s="758"/>
      <c r="AB46" s="758"/>
      <c r="AC46" s="758"/>
      <c r="AD46" s="758">
        <f t="shared" si="18"/>
        <v>0</v>
      </c>
      <c r="AE46" s="821">
        <f t="shared" si="19"/>
        <v>0</v>
      </c>
    </row>
    <row r="47" spans="2:32" x14ac:dyDescent="0.35">
      <c r="D47" s="821"/>
      <c r="E47" s="758"/>
      <c r="F47" s="758"/>
      <c r="G47" s="758"/>
      <c r="H47" s="758"/>
      <c r="I47" s="758">
        <f t="shared" si="10"/>
        <v>0</v>
      </c>
      <c r="J47" s="821">
        <f t="shared" si="11"/>
        <v>0</v>
      </c>
      <c r="K47" s="758"/>
      <c r="L47" s="758"/>
      <c r="M47" s="758"/>
      <c r="N47" s="758">
        <f t="shared" si="12"/>
        <v>0</v>
      </c>
      <c r="O47" s="821">
        <f t="shared" si="13"/>
        <v>0</v>
      </c>
      <c r="P47" s="758"/>
      <c r="Q47" s="758"/>
      <c r="R47" s="758"/>
      <c r="S47" s="758">
        <f t="shared" si="14"/>
        <v>0</v>
      </c>
      <c r="T47" s="821">
        <f t="shared" si="15"/>
        <v>0</v>
      </c>
      <c r="U47" s="758"/>
      <c r="V47" s="758"/>
      <c r="W47" s="758"/>
      <c r="X47" s="758"/>
      <c r="Y47" s="758">
        <f t="shared" si="16"/>
        <v>0</v>
      </c>
      <c r="Z47" s="821">
        <f t="shared" si="17"/>
        <v>0</v>
      </c>
      <c r="AA47" s="758"/>
      <c r="AB47" s="758"/>
      <c r="AC47" s="758"/>
      <c r="AD47" s="758">
        <f t="shared" si="18"/>
        <v>0</v>
      </c>
      <c r="AE47" s="821">
        <f t="shared" si="19"/>
        <v>0</v>
      </c>
    </row>
    <row r="48" spans="2:32" x14ac:dyDescent="0.35">
      <c r="D48" s="821"/>
      <c r="E48" s="758"/>
      <c r="F48" s="758"/>
      <c r="G48" s="758"/>
      <c r="H48" s="758"/>
      <c r="I48" s="758">
        <f t="shared" si="10"/>
        <v>0</v>
      </c>
      <c r="J48" s="821">
        <f t="shared" si="11"/>
        <v>0</v>
      </c>
      <c r="K48" s="758"/>
      <c r="L48" s="758"/>
      <c r="M48" s="758"/>
      <c r="N48" s="758">
        <f t="shared" si="12"/>
        <v>0</v>
      </c>
      <c r="O48" s="821">
        <f t="shared" si="13"/>
        <v>0</v>
      </c>
      <c r="P48" s="758"/>
      <c r="Q48" s="758"/>
      <c r="R48" s="758"/>
      <c r="S48" s="758">
        <f t="shared" si="14"/>
        <v>0</v>
      </c>
      <c r="T48" s="821">
        <f t="shared" si="15"/>
        <v>0</v>
      </c>
      <c r="U48" s="758"/>
      <c r="V48" s="758"/>
      <c r="W48" s="758"/>
      <c r="X48" s="758"/>
      <c r="Y48" s="758">
        <f t="shared" si="16"/>
        <v>0</v>
      </c>
      <c r="Z48" s="821">
        <f t="shared" si="17"/>
        <v>0</v>
      </c>
      <c r="AA48" s="758"/>
      <c r="AB48" s="758"/>
      <c r="AC48" s="758"/>
      <c r="AD48" s="758">
        <f t="shared" si="18"/>
        <v>0</v>
      </c>
      <c r="AE48" s="821">
        <f t="shared" si="19"/>
        <v>0</v>
      </c>
    </row>
    <row r="49" spans="2:32" x14ac:dyDescent="0.35">
      <c r="D49" s="821"/>
      <c r="E49" s="758"/>
      <c r="F49" s="758"/>
      <c r="G49" s="758"/>
      <c r="H49" s="758"/>
      <c r="I49" s="758">
        <f t="shared" si="10"/>
        <v>0</v>
      </c>
      <c r="J49" s="821">
        <f t="shared" si="11"/>
        <v>0</v>
      </c>
      <c r="K49" s="758"/>
      <c r="L49" s="758"/>
      <c r="M49" s="758"/>
      <c r="N49" s="758">
        <f t="shared" si="12"/>
        <v>0</v>
      </c>
      <c r="O49" s="821">
        <f t="shared" si="13"/>
        <v>0</v>
      </c>
      <c r="P49" s="758"/>
      <c r="Q49" s="758"/>
      <c r="R49" s="758"/>
      <c r="S49" s="758">
        <f t="shared" si="14"/>
        <v>0</v>
      </c>
      <c r="T49" s="821">
        <f t="shared" si="15"/>
        <v>0</v>
      </c>
      <c r="U49" s="758"/>
      <c r="V49" s="758"/>
      <c r="W49" s="758"/>
      <c r="X49" s="758"/>
      <c r="Y49" s="758">
        <f t="shared" si="16"/>
        <v>0</v>
      </c>
      <c r="Z49" s="821">
        <f t="shared" si="17"/>
        <v>0</v>
      </c>
      <c r="AA49" s="758"/>
      <c r="AB49" s="758"/>
      <c r="AC49" s="758"/>
      <c r="AD49" s="758">
        <f t="shared" si="18"/>
        <v>0</v>
      </c>
      <c r="AE49" s="821">
        <f t="shared" si="19"/>
        <v>0</v>
      </c>
    </row>
    <row r="50" spans="2:32" x14ac:dyDescent="0.35">
      <c r="D50" s="821"/>
      <c r="E50" s="758"/>
      <c r="F50" s="758"/>
      <c r="G50" s="758"/>
      <c r="H50" s="758"/>
      <c r="I50" s="758">
        <f t="shared" si="10"/>
        <v>0</v>
      </c>
      <c r="J50" s="821">
        <f t="shared" si="11"/>
        <v>0</v>
      </c>
      <c r="K50" s="758"/>
      <c r="L50" s="758"/>
      <c r="M50" s="758"/>
      <c r="N50" s="758">
        <f t="shared" si="12"/>
        <v>0</v>
      </c>
      <c r="O50" s="821">
        <f t="shared" si="13"/>
        <v>0</v>
      </c>
      <c r="P50" s="758"/>
      <c r="Q50" s="758"/>
      <c r="R50" s="758"/>
      <c r="S50" s="758">
        <f t="shared" si="14"/>
        <v>0</v>
      </c>
      <c r="T50" s="821">
        <f t="shared" si="15"/>
        <v>0</v>
      </c>
      <c r="U50" s="758"/>
      <c r="V50" s="758"/>
      <c r="W50" s="758"/>
      <c r="X50" s="758"/>
      <c r="Y50" s="758">
        <f t="shared" si="16"/>
        <v>0</v>
      </c>
      <c r="Z50" s="821">
        <f t="shared" si="17"/>
        <v>0</v>
      </c>
      <c r="AA50" s="758"/>
      <c r="AB50" s="758"/>
      <c r="AC50" s="758"/>
      <c r="AD50" s="758">
        <f t="shared" si="18"/>
        <v>0</v>
      </c>
      <c r="AE50" s="821">
        <f t="shared" si="19"/>
        <v>0</v>
      </c>
    </row>
    <row r="51" spans="2:32" ht="15" thickBot="1" x14ac:dyDescent="0.4">
      <c r="B51" s="268" t="s">
        <v>1224</v>
      </c>
      <c r="D51" s="825">
        <f>SUM(D11:D50)</f>
        <v>-124060557.33299999</v>
      </c>
      <c r="E51" s="826">
        <f t="shared" ref="E51:AE51" si="51">SUM(E11:E50)</f>
        <v>131168189.513</v>
      </c>
      <c r="F51" s="826">
        <f t="shared" si="51"/>
        <v>338867.23</v>
      </c>
      <c r="G51" s="826">
        <f t="shared" si="51"/>
        <v>1614927.4900000002</v>
      </c>
      <c r="H51" s="826">
        <f t="shared" si="51"/>
        <v>984867.93666666676</v>
      </c>
      <c r="I51" s="826">
        <f t="shared" si="51"/>
        <v>134106853.16966666</v>
      </c>
      <c r="J51" s="825">
        <f t="shared" si="51"/>
        <v>10046295.836666664</v>
      </c>
      <c r="K51" s="826">
        <f t="shared" si="51"/>
        <v>1669271.8210219755</v>
      </c>
      <c r="L51" s="826">
        <f t="shared" si="51"/>
        <v>-10589.573499999882</v>
      </c>
      <c r="M51" s="826">
        <f t="shared" si="51"/>
        <v>6303193.4900000002</v>
      </c>
      <c r="N51" s="826">
        <f t="shared" si="51"/>
        <v>7961875.7375219762</v>
      </c>
      <c r="O51" s="825">
        <f t="shared" si="51"/>
        <v>18008170.574188642</v>
      </c>
      <c r="P51" s="826">
        <f t="shared" si="51"/>
        <v>-2567889.252335079</v>
      </c>
      <c r="Q51" s="826">
        <f t="shared" si="51"/>
        <v>10589.59149999998</v>
      </c>
      <c r="R51" s="826">
        <f t="shared" si="51"/>
        <v>0</v>
      </c>
      <c r="S51" s="826">
        <f t="shared" si="51"/>
        <v>-2557299.6608350798</v>
      </c>
      <c r="T51" s="825">
        <f t="shared" si="51"/>
        <v>15450870.91335356</v>
      </c>
      <c r="U51" s="826">
        <f t="shared" si="51"/>
        <v>12910.259331536305</v>
      </c>
      <c r="V51" s="826">
        <f t="shared" si="51"/>
        <v>-1729712.4673011322</v>
      </c>
      <c r="W51" s="826">
        <f t="shared" si="51"/>
        <v>4718449.8108259197</v>
      </c>
      <c r="X51" s="826">
        <f t="shared" si="51"/>
        <v>2403256.8895737054</v>
      </c>
      <c r="Y51" s="826">
        <f t="shared" si="51"/>
        <v>5404904.4924300294</v>
      </c>
      <c r="Z51" s="825">
        <f t="shared" si="51"/>
        <v>20855775.405783594</v>
      </c>
      <c r="AA51" s="826">
        <f t="shared" si="51"/>
        <v>-3158565.3603837881</v>
      </c>
      <c r="AB51" s="826">
        <f t="shared" si="51"/>
        <v>-1789107.5335728303</v>
      </c>
      <c r="AC51" s="826">
        <f t="shared" si="51"/>
        <v>-1877404.0336111074</v>
      </c>
      <c r="AD51" s="826">
        <f t="shared" si="51"/>
        <v>-6825076.927567726</v>
      </c>
      <c r="AE51" s="825">
        <f t="shared" si="51"/>
        <v>14030698.478215866</v>
      </c>
    </row>
    <row r="52" spans="2:32" ht="15" thickTop="1" x14ac:dyDescent="0.35">
      <c r="D52" s="829"/>
      <c r="E52" s="242"/>
      <c r="F52" s="242"/>
      <c r="G52" s="242"/>
      <c r="H52" s="242"/>
      <c r="I52" s="242"/>
      <c r="J52" s="830"/>
      <c r="K52" s="242"/>
      <c r="L52" s="242"/>
      <c r="M52" s="242"/>
      <c r="N52" s="242"/>
      <c r="O52" s="830"/>
      <c r="P52" s="242"/>
      <c r="Q52" s="242"/>
      <c r="R52" s="242"/>
      <c r="S52" s="242"/>
      <c r="T52" s="830"/>
      <c r="U52" s="242"/>
      <c r="V52" s="242"/>
      <c r="W52" s="242"/>
      <c r="X52" s="242"/>
      <c r="Y52" s="242"/>
      <c r="Z52" s="830"/>
      <c r="AA52" s="242"/>
      <c r="AB52" s="242"/>
      <c r="AC52" s="242"/>
      <c r="AD52" s="242"/>
      <c r="AE52" s="830"/>
    </row>
    <row r="53" spans="2:32" x14ac:dyDescent="0.35">
      <c r="B53" s="831">
        <v>80500002</v>
      </c>
      <c r="C53" s="831" t="s">
        <v>1269</v>
      </c>
      <c r="D53" s="832">
        <v>129012602</v>
      </c>
      <c r="E53" s="242">
        <f>-D53</f>
        <v>-129012602</v>
      </c>
      <c r="I53" s="758">
        <f t="shared" si="10"/>
        <v>-129012602</v>
      </c>
      <c r="J53" s="821">
        <f t="shared" si="11"/>
        <v>0</v>
      </c>
      <c r="AF53" s="822"/>
    </row>
    <row r="54" spans="2:32" x14ac:dyDescent="0.35">
      <c r="E54" s="242"/>
    </row>
    <row r="55" spans="2:32" x14ac:dyDescent="0.35">
      <c r="C55" s="268" t="s">
        <v>1225</v>
      </c>
    </row>
    <row r="56" spans="2:32" x14ac:dyDescent="0.35">
      <c r="C56" s="268" t="s">
        <v>1226</v>
      </c>
    </row>
  </sheetData>
  <mergeCells count="1">
    <mergeCell ref="A4:B4"/>
  </mergeCells>
  <conditionalFormatting sqref="A4">
    <cfRule type="cellIs" dxfId="4" priority="6" operator="notEqual">
      <formula>0</formula>
    </cfRule>
  </conditionalFormatting>
  <conditionalFormatting sqref="A4:B4">
    <cfRule type="cellIs" dxfId="3" priority="5" operator="equal">
      <formula>0</formula>
    </cfRule>
  </conditionalFormatting>
  <conditionalFormatting sqref="D2:AE2">
    <cfRule type="cellIs" dxfId="2" priority="1" operator="equal">
      <formula>"ADD FORMULA!"</formula>
    </cfRule>
  </conditionalFormatting>
  <conditionalFormatting sqref="D4:AE4">
    <cfRule type="cellIs" dxfId="1" priority="3" operator="equal">
      <formula>0</formula>
    </cfRule>
    <cfRule type="cellIs" dxfId="0" priority="4" operator="notEqual">
      <formula>0</formula>
    </cfRule>
  </conditionalFormatting>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Application xmlns="http://www.sap.com/cof/excel/application">
  <Version>2</Version>
  <Revision>2.6.303.84659</Revision>
</Application>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2024-08-06T17:57:43+00:00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6.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F862091-0A57-4B16-82FD-2DCFB4782456}">
  <ds:schemaRefs>
    <ds:schemaRef ds:uri="http://schemas.microsoft.com/PowerBIAddIn"/>
  </ds:schemaRefs>
</ds:datastoreItem>
</file>

<file path=customXml/itemProps2.xml><?xml version="1.0" encoding="utf-8"?>
<ds:datastoreItem xmlns:ds="http://schemas.openxmlformats.org/officeDocument/2006/customXml" ds:itemID="{07F9ECC4-94E4-41FE-92B3-6D7D116BF8F6}">
  <ds:schemaRefs>
    <ds:schemaRef ds:uri="http://www.sap.com/cof/excel/application"/>
  </ds:schemaRefs>
</ds:datastoreItem>
</file>

<file path=customXml/itemProps3.xml><?xml version="1.0" encoding="utf-8"?>
<ds:datastoreItem xmlns:ds="http://schemas.openxmlformats.org/officeDocument/2006/customXml" ds:itemID="{E8C42FBE-A4EF-4FCD-A81A-5080F52EAF08}"/>
</file>

<file path=customXml/itemProps4.xml><?xml version="1.0" encoding="utf-8"?>
<ds:datastoreItem xmlns:ds="http://schemas.openxmlformats.org/officeDocument/2006/customXml" ds:itemID="{27A3ACF3-D386-4FEB-9C42-55E12D91B318}">
  <ds:schemaRefs>
    <ds:schemaRef ds:uri="http://schemas.microsoft.com/sharepoint/v3/contenttype/forms"/>
  </ds:schemaRefs>
</ds:datastoreItem>
</file>

<file path=customXml/itemProps5.xml><?xml version="1.0" encoding="utf-8"?>
<ds:datastoreItem xmlns:ds="http://schemas.openxmlformats.org/officeDocument/2006/customXml" ds:itemID="{80F6AEDF-2D30-40E8-B48F-2DC188AC587F}">
  <ds:schemaRefs>
    <ds:schemaRef ds:uri="http://schemas.openxmlformats.org/package/2006/metadata/core-properties"/>
    <ds:schemaRef ds:uri="http://www.w3.org/XML/1998/namespace"/>
    <ds:schemaRef ds:uri="http://purl.org/dc/terms/"/>
    <ds:schemaRef ds:uri="http://purl.org/dc/elements/1.1/"/>
    <ds:schemaRef ds:uri="2f13892f-b84e-43e7-85d7-f526277286d2"/>
    <ds:schemaRef ds:uri="http://schemas.microsoft.com/office/2006/documentManagement/types"/>
    <ds:schemaRef ds:uri="http://purl.org/dc/dcmitype/"/>
    <ds:schemaRef ds:uri="http://schemas.microsoft.com/office/2006/metadata/properties"/>
    <ds:schemaRef ds:uri="http://schemas.microsoft.com/office/infopath/2007/PartnerControls"/>
  </ds:schemaRefs>
</ds:datastoreItem>
</file>

<file path=customXml/itemProps6.xml><?xml version="1.0" encoding="utf-8"?>
<ds:datastoreItem xmlns:ds="http://schemas.openxmlformats.org/officeDocument/2006/customXml" ds:itemID="{467EB19B-D9C9-4E18-AA33-D56810389F03}"/>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23</vt:i4>
      </vt:variant>
    </vt:vector>
  </HeadingPairs>
  <TitlesOfParts>
    <vt:vector size="43" baseType="lpstr">
      <vt:lpstr>Def, COC, ConvF DPK-7 </vt:lpstr>
      <vt:lpstr>Summary DPK-7 </vt:lpstr>
      <vt:lpstr>Detailed Summary</vt:lpstr>
      <vt:lpstr>DPK-8 Filtered Summary</vt:lpstr>
      <vt:lpstr>Common Adj</vt:lpstr>
      <vt:lpstr>Gas Adj</vt:lpstr>
      <vt:lpstr>O&amp;M</vt:lpstr>
      <vt:lpstr>4081</vt:lpstr>
      <vt:lpstr>BD-FF</vt:lpstr>
      <vt:lpstr>Subject to Refund</vt:lpstr>
      <vt:lpstr>Adj List</vt:lpstr>
      <vt:lpstr>SEF-NOI-RB p1 Gas wp</vt:lpstr>
      <vt:lpstr>SEF-NOI-RB p2 Gas wp</vt:lpstr>
      <vt:lpstr>Final Rate Years</vt:lpstr>
      <vt:lpstr>Named Ranges E</vt:lpstr>
      <vt:lpstr>Proofs=&gt;</vt:lpstr>
      <vt:lpstr>GAS COS Revenues</vt:lpstr>
      <vt:lpstr>TBPI, ETR, Rev</vt:lpstr>
      <vt:lpstr>G OOR</vt:lpstr>
      <vt:lpstr>G OOE</vt:lpstr>
      <vt:lpstr>'DPK-8 Filtered Summary'!_BeforeAfter</vt:lpstr>
      <vt:lpstr>_BeforeAfter</vt:lpstr>
      <vt:lpstr>Company</vt:lpstr>
      <vt:lpstr>'DPK-8 Filtered Summary'!DETAIL</vt:lpstr>
      <vt:lpstr>DETAIL</vt:lpstr>
      <vt:lpstr>'DPK-8 Filtered Summary'!DETAIL2</vt:lpstr>
      <vt:lpstr>DETAIL2</vt:lpstr>
      <vt:lpstr>Docket</vt:lpstr>
      <vt:lpstr>ExhibitNo</vt:lpstr>
      <vt:lpstr>FIT</vt:lpstr>
      <vt:lpstr>'Def, COC, ConvF DPK-7 '!Print_Area</vt:lpstr>
      <vt:lpstr>'Detailed Summary'!Print_Area</vt:lpstr>
      <vt:lpstr>'DPK-8 Filtered Summary'!Print_Area</vt:lpstr>
      <vt:lpstr>'SEF-NOI-RB p1 Gas wp'!Print_Area</vt:lpstr>
      <vt:lpstr>'SEF-NOI-RB p2 Gas wp'!Print_Area</vt:lpstr>
      <vt:lpstr>'Summary DPK-7 '!Print_Area</vt:lpstr>
      <vt:lpstr>'Detailed Summary'!Print_Titles</vt:lpstr>
      <vt:lpstr>'DPK-8 Filtered Summary'!Print_Titles</vt:lpstr>
      <vt:lpstr>RateCase</vt:lpstr>
      <vt:lpstr>RateYear1</vt:lpstr>
      <vt:lpstr>RateYear2</vt:lpstr>
      <vt:lpstr>RateYear3</vt:lpstr>
      <vt:lpstr>TestYear</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Danny Kermode</cp:lastModifiedBy>
  <cp:lastPrinted>2024-08-05T03:40:20Z</cp:lastPrinted>
  <dcterms:created xsi:type="dcterms:W3CDTF">2021-06-09T14:52:31Z</dcterms:created>
  <dcterms:modified xsi:type="dcterms:W3CDTF">2024-08-05T03:40:44Z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0x0101006E56B4D1795A2E4DB2F0B01679ED314A00E44296BEEBC83648A45074ADE4018599</vt:lpwstr>
  </property>
  <property fmtid="{D5CDD505-2E9C-101B-9397-08002B2CF9AE}" pid="4" name="_docset_NoMedatataSyncRequired">
    <vt:lpwstr>False</vt:lpwstr>
  </property>
</Properties>
</file>