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7620" tabRatio="901" activeTab="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45621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3" i="80" l="1"/>
  <c r="D23" i="80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O198" i="88"/>
  <c r="N198" i="88"/>
  <c r="M198" i="88"/>
  <c r="L198" i="88"/>
  <c r="K198" i="88"/>
  <c r="J198" i="88"/>
  <c r="I198" i="88"/>
  <c r="H198" i="88"/>
  <c r="G198" i="88"/>
  <c r="F198" i="88"/>
  <c r="E198" i="88"/>
  <c r="D198" i="88"/>
  <c r="C198" i="88"/>
  <c r="M194" i="88"/>
  <c r="I194" i="88"/>
  <c r="E194" i="88"/>
  <c r="P193" i="88"/>
  <c r="P194" i="88" s="1"/>
  <c r="O193" i="88"/>
  <c r="O194" i="88" s="1"/>
  <c r="N193" i="88"/>
  <c r="N194" i="88" s="1"/>
  <c r="M193" i="88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D193" i="88"/>
  <c r="D194" i="88" s="1"/>
  <c r="C193" i="88"/>
  <c r="C194" i="88" s="1"/>
  <c r="P186" i="88"/>
  <c r="O184" i="88"/>
  <c r="N184" i="88"/>
  <c r="M184" i="88"/>
  <c r="L184" i="88"/>
  <c r="K184" i="88"/>
  <c r="J184" i="88"/>
  <c r="I184" i="88"/>
  <c r="H184" i="88"/>
  <c r="G184" i="88"/>
  <c r="F184" i="88"/>
  <c r="E184" i="88"/>
  <c r="D184" i="88"/>
  <c r="C184" i="88"/>
  <c r="R184" i="88" s="1"/>
  <c r="O183" i="88"/>
  <c r="N183" i="88"/>
  <c r="M183" i="88"/>
  <c r="L183" i="88"/>
  <c r="K183" i="88"/>
  <c r="J183" i="88"/>
  <c r="I183" i="88"/>
  <c r="H183" i="88"/>
  <c r="G183" i="88"/>
  <c r="F183" i="88"/>
  <c r="E183" i="88"/>
  <c r="D183" i="88"/>
  <c r="C183" i="88"/>
  <c r="O182" i="88"/>
  <c r="N182" i="88"/>
  <c r="M182" i="88"/>
  <c r="L182" i="88"/>
  <c r="K182" i="88"/>
  <c r="J182" i="88"/>
  <c r="I182" i="88"/>
  <c r="H182" i="88"/>
  <c r="G182" i="88"/>
  <c r="F182" i="88"/>
  <c r="E182" i="88"/>
  <c r="D182" i="88"/>
  <c r="R182" i="88" s="1"/>
  <c r="C182" i="88"/>
  <c r="O181" i="88"/>
  <c r="N181" i="88"/>
  <c r="M181" i="88"/>
  <c r="L181" i="88"/>
  <c r="K181" i="88"/>
  <c r="J181" i="88"/>
  <c r="I181" i="88"/>
  <c r="H181" i="88"/>
  <c r="G181" i="88"/>
  <c r="F181" i="88"/>
  <c r="E181" i="88"/>
  <c r="R181" i="88" s="1"/>
  <c r="D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R176" i="88" s="1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G174" i="88"/>
  <c r="F174" i="88"/>
  <c r="E174" i="88"/>
  <c r="D174" i="88"/>
  <c r="R174" i="88" s="1"/>
  <c r="C174" i="88"/>
  <c r="O173" i="88"/>
  <c r="N173" i="88"/>
  <c r="M173" i="88"/>
  <c r="L173" i="88"/>
  <c r="K173" i="88"/>
  <c r="J173" i="88"/>
  <c r="I173" i="88"/>
  <c r="H173" i="88"/>
  <c r="G173" i="88"/>
  <c r="F173" i="88"/>
  <c r="E173" i="88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M228" i="87"/>
  <c r="M208" i="87" s="1"/>
  <c r="I228" i="87"/>
  <c r="I208" i="87" s="1"/>
  <c r="E228" i="87"/>
  <c r="E208" i="87" s="1"/>
  <c r="P227" i="87"/>
  <c r="P228" i="87" s="1"/>
  <c r="O227" i="87"/>
  <c r="O228" i="87" s="1"/>
  <c r="O208" i="87" s="1"/>
  <c r="N227" i="87"/>
  <c r="N228" i="87" s="1"/>
  <c r="N208" i="87" s="1"/>
  <c r="M227" i="87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D227" i="87"/>
  <c r="D228" i="87" s="1"/>
  <c r="D208" i="87" s="1"/>
  <c r="C227" i="87"/>
  <c r="C228" i="87" s="1"/>
  <c r="C208" i="87" s="1"/>
  <c r="M218" i="87"/>
  <c r="I218" i="87"/>
  <c r="E218" i="87"/>
  <c r="P217" i="87"/>
  <c r="P218" i="87" s="1"/>
  <c r="O217" i="87"/>
  <c r="O218" i="87" s="1"/>
  <c r="N217" i="87"/>
  <c r="N218" i="87" s="1"/>
  <c r="M217" i="87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P38" i="86"/>
  <c r="D47" i="65" s="1"/>
  <c r="O38" i="86"/>
  <c r="N38" i="86"/>
  <c r="M38" i="86"/>
  <c r="L38" i="86"/>
  <c r="K38" i="86"/>
  <c r="J38" i="86"/>
  <c r="I38" i="86"/>
  <c r="H38" i="86"/>
  <c r="G38" i="86"/>
  <c r="F38" i="86"/>
  <c r="E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C31" i="86" s="1"/>
  <c r="C32" i="86" s="1"/>
  <c r="O206" i="87" l="1"/>
  <c r="P29" i="86" s="1"/>
  <c r="D13" i="65" s="1"/>
  <c r="K206" i="87"/>
  <c r="L29" i="86" s="1"/>
  <c r="G206" i="87"/>
  <c r="H29" i="86" s="1"/>
  <c r="C206" i="87"/>
  <c r="L205" i="87"/>
  <c r="H205" i="87"/>
  <c r="D205" i="87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E44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G178" i="88"/>
  <c r="H41" i="86" s="1"/>
  <c r="C178" i="88"/>
  <c r="D41" i="86" s="1"/>
  <c r="O29" i="86"/>
  <c r="O31" i="86" s="1"/>
  <c r="R173" i="88"/>
  <c r="R183" i="88"/>
  <c r="C44" i="86"/>
  <c r="C45" i="86" s="1"/>
  <c r="P44" i="86"/>
  <c r="I44" i="86"/>
  <c r="M44" i="86"/>
  <c r="L44" i="86"/>
  <c r="H44" i="86"/>
  <c r="G31" i="86"/>
  <c r="R178" i="88"/>
  <c r="D186" i="88"/>
  <c r="H186" i="88"/>
  <c r="I45" i="86" s="1"/>
  <c r="L186" i="88"/>
  <c r="M45" i="86" s="1"/>
  <c r="R205" i="87"/>
  <c r="F210" i="87"/>
  <c r="J210" i="87"/>
  <c r="N210" i="87"/>
  <c r="I186" i="88" l="1"/>
  <c r="J41" i="86"/>
  <c r="J44" i="86" s="1"/>
  <c r="J45" i="86" s="1"/>
  <c r="K186" i="88"/>
  <c r="O210" i="87"/>
  <c r="P28" i="86"/>
  <c r="P31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D31" i="86" s="1"/>
  <c r="D32" i="86" s="1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E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45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P32" i="86"/>
  <c r="G32" i="86"/>
  <c r="K32" i="86"/>
  <c r="O32" i="86"/>
  <c r="N32" i="86" l="1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J1358" i="85"/>
  <c r="I1358" i="85"/>
  <c r="H1358" i="85"/>
  <c r="G1358" i="85"/>
  <c r="F1358" i="85"/>
  <c r="E1358" i="85"/>
  <c r="D1358" i="85"/>
  <c r="C1358" i="85"/>
  <c r="P1348" i="85"/>
  <c r="O1346" i="85"/>
  <c r="K1346" i="85"/>
  <c r="G1346" i="85"/>
  <c r="C1346" i="85"/>
  <c r="M1345" i="85"/>
  <c r="I1345" i="85"/>
  <c r="E1345" i="85"/>
  <c r="O1343" i="85"/>
  <c r="N1343" i="85"/>
  <c r="M1343" i="85"/>
  <c r="L1343" i="85"/>
  <c r="K1343" i="85"/>
  <c r="J1343" i="85"/>
  <c r="I1343" i="85"/>
  <c r="H1343" i="85"/>
  <c r="G1343" i="85"/>
  <c r="F1343" i="85"/>
  <c r="E1343" i="85"/>
  <c r="D1343" i="85"/>
  <c r="C1343" i="85"/>
  <c r="R1343" i="85" s="1"/>
  <c r="R1341" i="85"/>
  <c r="R1340" i="85"/>
  <c r="R1339" i="85"/>
  <c r="R1338" i="85"/>
  <c r="R1337" i="85"/>
  <c r="R1336" i="85"/>
  <c r="O1334" i="85"/>
  <c r="N1334" i="85"/>
  <c r="M1334" i="85"/>
  <c r="L1334" i="85"/>
  <c r="K1334" i="85"/>
  <c r="J1334" i="85"/>
  <c r="I1334" i="85"/>
  <c r="H1334" i="85"/>
  <c r="G1334" i="85"/>
  <c r="F1334" i="85"/>
  <c r="E1334" i="85"/>
  <c r="D1334" i="85"/>
  <c r="R1334" i="85" s="1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R1333" i="85" s="1"/>
  <c r="C1333" i="85"/>
  <c r="O1332" i="85"/>
  <c r="N1332" i="85"/>
  <c r="M1332" i="85"/>
  <c r="L1332" i="85"/>
  <c r="K1332" i="85"/>
  <c r="J1332" i="85"/>
  <c r="I1332" i="85"/>
  <c r="H1332" i="85"/>
  <c r="G1332" i="85"/>
  <c r="F1332" i="85"/>
  <c r="E1332" i="85"/>
  <c r="D1332" i="85"/>
  <c r="R1332" i="85" s="1"/>
  <c r="C1332" i="85"/>
  <c r="O1331" i="85"/>
  <c r="N1331" i="85"/>
  <c r="N1335" i="85" s="1"/>
  <c r="M1331" i="85"/>
  <c r="L1331" i="85"/>
  <c r="K1331" i="85"/>
  <c r="J1331" i="85"/>
  <c r="J1335" i="85" s="1"/>
  <c r="I1331" i="85"/>
  <c r="H1331" i="85"/>
  <c r="G1331" i="85"/>
  <c r="F1331" i="85"/>
  <c r="F1335" i="85" s="1"/>
  <c r="E1331" i="85"/>
  <c r="D1331" i="85"/>
  <c r="R1331" i="85" s="1"/>
  <c r="C1331" i="85"/>
  <c r="O1330" i="85"/>
  <c r="N1330" i="85"/>
  <c r="M1330" i="85"/>
  <c r="M1335" i="85" s="1"/>
  <c r="L1330" i="85"/>
  <c r="L1335" i="85" s="1"/>
  <c r="K1330" i="85"/>
  <c r="K1335" i="85" s="1"/>
  <c r="J1330" i="85"/>
  <c r="I1330" i="85"/>
  <c r="I1335" i="85" s="1"/>
  <c r="H1330" i="85"/>
  <c r="H1335" i="85" s="1"/>
  <c r="G1330" i="85"/>
  <c r="F1330" i="85"/>
  <c r="E1330" i="85"/>
  <c r="E1335" i="85" s="1"/>
  <c r="D1330" i="85"/>
  <c r="D1335" i="85" s="1"/>
  <c r="C1330" i="85"/>
  <c r="C1335" i="85" s="1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R1466" i="84"/>
  <c r="Q1466" i="84"/>
  <c r="P1466" i="84"/>
  <c r="R1465" i="84"/>
  <c r="Q1465" i="84"/>
  <c r="P1465" i="84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R1443" i="84" s="1"/>
  <c r="C1443" i="84"/>
  <c r="O1442" i="84"/>
  <c r="N1442" i="84"/>
  <c r="M1442" i="84"/>
  <c r="L1442" i="84"/>
  <c r="K1442" i="84"/>
  <c r="J1442" i="84"/>
  <c r="I1442" i="84"/>
  <c r="H1442" i="84"/>
  <c r="G1442" i="84"/>
  <c r="F1442" i="84"/>
  <c r="E1442" i="84"/>
  <c r="D1442" i="84"/>
  <c r="C1442" i="84"/>
  <c r="R1442" i="84" s="1"/>
  <c r="O1441" i="84"/>
  <c r="N1441" i="84"/>
  <c r="M1441" i="84"/>
  <c r="M1454" i="84" s="1"/>
  <c r="L1441" i="84"/>
  <c r="K1441" i="84"/>
  <c r="J1441" i="84"/>
  <c r="I1441" i="84"/>
  <c r="I1454" i="84" s="1"/>
  <c r="H1441" i="84"/>
  <c r="G1441" i="84"/>
  <c r="F1441" i="84"/>
  <c r="E1441" i="84"/>
  <c r="E1454" i="84" s="1"/>
  <c r="D1441" i="84"/>
  <c r="R1441" i="84" s="1"/>
  <c r="C1441" i="84"/>
  <c r="O1440" i="84"/>
  <c r="O1454" i="84" s="1"/>
  <c r="N1440" i="84"/>
  <c r="N1454" i="84" s="1"/>
  <c r="M1440" i="84"/>
  <c r="L1440" i="84"/>
  <c r="L1454" i="84" s="1"/>
  <c r="K1440" i="84"/>
  <c r="K1454" i="84" s="1"/>
  <c r="J1440" i="84"/>
  <c r="J1454" i="84" s="1"/>
  <c r="I1440" i="84"/>
  <c r="H1440" i="84"/>
  <c r="H1454" i="84" s="1"/>
  <c r="G1440" i="84"/>
  <c r="G1454" i="84" s="1"/>
  <c r="F1440" i="84"/>
  <c r="F1454" i="84" s="1"/>
  <c r="E1440" i="84"/>
  <c r="D1440" i="84"/>
  <c r="D1454" i="84" s="1"/>
  <c r="C1440" i="84"/>
  <c r="C1454" i="84" s="1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P38" i="83"/>
  <c r="D50" i="66" s="1"/>
  <c r="L38" i="83"/>
  <c r="H38" i="83"/>
  <c r="D38" i="83"/>
  <c r="C38" i="83"/>
  <c r="N37" i="83"/>
  <c r="J37" i="83"/>
  <c r="F37" i="83"/>
  <c r="C37" i="83"/>
  <c r="P36" i="83"/>
  <c r="O36" i="83"/>
  <c r="N36" i="83"/>
  <c r="M36" i="83"/>
  <c r="L36" i="83"/>
  <c r="K36" i="83"/>
  <c r="J36" i="83"/>
  <c r="I36" i="83"/>
  <c r="H36" i="83"/>
  <c r="G36" i="83"/>
  <c r="F36" i="83"/>
  <c r="E36" i="83"/>
  <c r="D36" i="83"/>
  <c r="C36" i="83"/>
  <c r="P35" i="83"/>
  <c r="D47" i="66" s="1"/>
  <c r="O35" i="83"/>
  <c r="N35" i="83"/>
  <c r="M35" i="83"/>
  <c r="L35" i="83"/>
  <c r="K35" i="83"/>
  <c r="J35" i="83"/>
  <c r="I35" i="83"/>
  <c r="H35" i="83"/>
  <c r="G35" i="83"/>
  <c r="F35" i="83"/>
  <c r="E35" i="83"/>
  <c r="D35" i="83"/>
  <c r="C35" i="83"/>
  <c r="P34" i="83"/>
  <c r="O34" i="83"/>
  <c r="N34" i="83"/>
  <c r="M34" i="83"/>
  <c r="L34" i="83"/>
  <c r="K34" i="83"/>
  <c r="J34" i="83"/>
  <c r="I34" i="83"/>
  <c r="H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I24" i="83"/>
  <c r="H24" i="83"/>
  <c r="G24" i="83"/>
  <c r="F24" i="83"/>
  <c r="E24" i="83"/>
  <c r="D24" i="83"/>
  <c r="C24" i="83"/>
  <c r="P23" i="83"/>
  <c r="D9" i="66" s="1"/>
  <c r="O23" i="83"/>
  <c r="N23" i="83"/>
  <c r="M23" i="83"/>
  <c r="L23" i="83"/>
  <c r="K23" i="83"/>
  <c r="J23" i="83"/>
  <c r="I23" i="83"/>
  <c r="H23" i="83"/>
  <c r="G23" i="83"/>
  <c r="F23" i="83"/>
  <c r="E23" i="83"/>
  <c r="D23" i="83"/>
  <c r="C23" i="83"/>
  <c r="P22" i="83"/>
  <c r="O22" i="83"/>
  <c r="N22" i="83"/>
  <c r="M22" i="83"/>
  <c r="L22" i="83"/>
  <c r="K22" i="83"/>
  <c r="J22" i="83"/>
  <c r="I22" i="83"/>
  <c r="H22" i="83"/>
  <c r="G22" i="83"/>
  <c r="F22" i="83"/>
  <c r="E22" i="83"/>
  <c r="D22" i="83"/>
  <c r="C22" i="83"/>
  <c r="C28" i="83" s="1"/>
  <c r="R1330" i="85" l="1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M40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1" i="83" l="1"/>
  <c r="J41" i="83"/>
  <c r="R1345" i="85"/>
  <c r="D37" i="83"/>
  <c r="D40" i="83" s="1"/>
  <c r="P26" i="83"/>
  <c r="D12" i="66" s="1"/>
  <c r="N1446" i="84"/>
  <c r="N1348" i="85"/>
  <c r="O41" i="83" s="1"/>
  <c r="K1348" i="85"/>
  <c r="I1348" i="85"/>
  <c r="E1348" i="85"/>
  <c r="F41" i="83" s="1"/>
  <c r="N1445" i="84"/>
  <c r="P25" i="83"/>
  <c r="P28" i="83" s="1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H41" i="83"/>
  <c r="O1461" i="84"/>
  <c r="M1348" i="85"/>
  <c r="N41" i="83" s="1"/>
  <c r="C1348" i="85"/>
  <c r="N1461" i="84" l="1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s="1"/>
  <c r="L1461" i="84" l="1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E28" i="83" s="1"/>
  <c r="D1461" i="84"/>
  <c r="C1446" i="84"/>
  <c r="D26" i="83" s="1"/>
  <c r="E26" i="83"/>
  <c r="F28" i="83"/>
  <c r="F29" i="83" s="1"/>
  <c r="E29" i="83" l="1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s="1"/>
  <c r="H36" i="71" s="1"/>
  <c r="H37" i="71" s="1"/>
  <c r="H38" i="71" s="1"/>
  <c r="H39" i="71" s="1"/>
  <c r="H40" i="71" s="1"/>
  <c r="H41" i="71" s="1"/>
  <c r="H42" i="71" s="1"/>
  <c r="H43" i="71" s="1"/>
  <c r="C40" i="71" l="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C31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s="1"/>
  <c r="B37" i="69" l="1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I38" i="76" s="1"/>
  <c r="H13" i="66"/>
  <c r="G10" i="65"/>
  <c r="A18" i="66"/>
  <c r="A17" i="66"/>
  <c r="A7" i="66"/>
  <c r="A18" i="65"/>
  <c r="A8" i="65"/>
  <c r="I72" i="65" l="1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M38" i="76" s="1"/>
  <c r="B46" i="75"/>
  <c r="G46" i="75"/>
  <c r="I13" i="66"/>
  <c r="D50" i="76" s="1"/>
  <c r="K50" i="76" s="1"/>
  <c r="C50" i="76"/>
  <c r="H10" i="65"/>
  <c r="A8" i="66"/>
  <c r="A9" i="66" s="1"/>
  <c r="A9" i="65"/>
  <c r="J35" i="65" l="1"/>
  <c r="J23" i="76"/>
  <c r="G33" i="75"/>
  <c r="J13" i="66"/>
  <c r="K13" i="66" s="1"/>
  <c r="I10" i="65"/>
  <c r="D46" i="75" s="1"/>
  <c r="C46" i="75"/>
  <c r="J50" i="76"/>
  <c r="H50" i="76"/>
  <c r="I50" i="76" s="1"/>
  <c r="A10" i="66"/>
  <c r="A11" i="66" s="1"/>
  <c r="A10" i="65"/>
  <c r="D33" i="75" l="1"/>
  <c r="C33" i="75"/>
  <c r="H48" i="65"/>
  <c r="I48" i="65" s="1"/>
  <c r="L50" i="76"/>
  <c r="M50" i="76" s="1"/>
  <c r="J10" i="65"/>
  <c r="K10" i="65" s="1"/>
  <c r="A12" i="66"/>
  <c r="A13" i="66" s="1"/>
  <c r="A11" i="65"/>
  <c r="A14" i="66" l="1"/>
  <c r="A12" i="65"/>
  <c r="A15" i="66" l="1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s="1"/>
  <c r="G84" i="65" l="1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20" i="66" l="1"/>
  <c r="D38" i="66"/>
  <c r="G38" i="66" l="1"/>
  <c r="I38" i="66"/>
  <c r="D37" i="76" s="1"/>
  <c r="K37" i="76" s="1"/>
  <c r="D51" i="66"/>
  <c r="D33" i="66"/>
  <c r="D46" i="66" l="1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s="1"/>
  <c r="M37" i="76" s="1"/>
  <c r="D31" i="65" l="1"/>
  <c r="D30" i="66"/>
  <c r="D28" i="65" l="1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17" i="65" s="1"/>
  <c r="D19" i="65" s="1"/>
  <c r="D54" i="66"/>
  <c r="H15" i="66"/>
  <c r="I15" i="66"/>
  <c r="G15" i="66"/>
  <c r="G28" i="66"/>
  <c r="H28" i="66"/>
  <c r="H41" i="66" s="1"/>
  <c r="C40" i="76" s="1"/>
  <c r="D22" i="80"/>
  <c r="D24" i="80" s="1"/>
  <c r="D53" i="66"/>
  <c r="G14" i="66"/>
  <c r="H14" i="66"/>
  <c r="D54" i="65"/>
  <c r="I14" i="66"/>
  <c r="J15" i="66" l="1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D32" i="65" s="1"/>
  <c r="J40" i="76"/>
  <c r="H40" i="76"/>
  <c r="D52" i="76"/>
  <c r="K52" i="76" s="1"/>
  <c r="B77" i="78"/>
  <c r="E77" i="78" s="1"/>
  <c r="F77" i="78" s="1"/>
  <c r="H55" i="65"/>
  <c r="G40" i="75"/>
  <c r="I40" i="75" s="1"/>
  <c r="B40" i="75"/>
  <c r="D36" i="66"/>
  <c r="D42" i="66" s="1"/>
  <c r="D29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K51" i="76" s="1"/>
  <c r="B55" i="78"/>
  <c r="E55" i="78" s="1"/>
  <c r="F55" i="78" s="1"/>
  <c r="D26" i="80"/>
  <c r="D13" i="80" s="1"/>
  <c r="D15" i="80" s="1"/>
  <c r="D8" i="80"/>
  <c r="D9" i="80" s="1"/>
  <c r="H15" i="65"/>
  <c r="G15" i="65"/>
  <c r="I15" i="65"/>
  <c r="F65" i="77" l="1"/>
  <c r="E67" i="77"/>
  <c r="I67" i="65" s="1"/>
  <c r="D44" i="65"/>
  <c r="D55" i="66"/>
  <c r="D57" i="66" s="1"/>
  <c r="H54" i="66"/>
  <c r="G40" i="76"/>
  <c r="I40" i="76" s="1"/>
  <c r="D31" i="66"/>
  <c r="D43" i="66"/>
  <c r="L52" i="75"/>
  <c r="E76" i="78"/>
  <c r="D76" i="78"/>
  <c r="D67" i="77"/>
  <c r="H67" i="65" s="1"/>
  <c r="H79" i="65" s="1"/>
  <c r="C13" i="75" s="1"/>
  <c r="D75" i="78"/>
  <c r="E75" i="78"/>
  <c r="E78" i="78" s="1"/>
  <c r="I66" i="66" s="1"/>
  <c r="C75" i="78"/>
  <c r="B78" i="78"/>
  <c r="B40" i="76"/>
  <c r="J52" i="76"/>
  <c r="H52" i="76"/>
  <c r="I52" i="76" s="1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I51" i="76" s="1"/>
  <c r="B51" i="75"/>
  <c r="B42" i="77"/>
  <c r="J15" i="65"/>
  <c r="K15" i="65" s="1"/>
  <c r="G51" i="75"/>
  <c r="E53" i="78"/>
  <c r="E56" i="78" s="1"/>
  <c r="I65" i="66" s="1"/>
  <c r="D53" i="78"/>
  <c r="C53" i="78"/>
  <c r="B56" i="78"/>
  <c r="D54" i="78"/>
  <c r="F54" i="78" s="1"/>
  <c r="E54" i="78"/>
  <c r="D19" i="80"/>
  <c r="D16" i="80"/>
  <c r="D78" i="78" l="1"/>
  <c r="H66" i="66" s="1"/>
  <c r="H78" i="66" s="1"/>
  <c r="C13" i="76" s="1"/>
  <c r="L52" i="76"/>
  <c r="M52" i="76" s="1"/>
  <c r="G79" i="65"/>
  <c r="J67" i="65"/>
  <c r="G13" i="75"/>
  <c r="H26" i="75" s="1"/>
  <c r="M52" i="75"/>
  <c r="G13" i="76"/>
  <c r="H26" i="76"/>
  <c r="F75" i="78"/>
  <c r="F78" i="78" s="1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F56" i="78" s="1"/>
  <c r="C56" i="78"/>
  <c r="G65" i="66" s="1"/>
  <c r="L15" i="65"/>
  <c r="I28" i="66"/>
  <c r="F43" i="77" l="1"/>
  <c r="J66" i="66"/>
  <c r="G78" i="66"/>
  <c r="G91" i="65"/>
  <c r="B13" i="75"/>
  <c r="I78" i="66"/>
  <c r="D13" i="76" s="1"/>
  <c r="H13" i="76" s="1"/>
  <c r="I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F45" i="77" s="1"/>
  <c r="H91" i="65" l="1"/>
  <c r="B26" i="75"/>
  <c r="G26" i="75" s="1"/>
  <c r="I26" i="75" s="1"/>
  <c r="I54" i="66"/>
  <c r="K54" i="66" s="1"/>
  <c r="D40" i="76"/>
  <c r="K40" i="76" s="1"/>
  <c r="L40" i="76" s="1"/>
  <c r="M40" i="76" s="1"/>
  <c r="J41" i="66"/>
  <c r="K41" i="66" s="1"/>
  <c r="I42" i="65"/>
  <c r="J29" i="65"/>
  <c r="I79" i="65"/>
  <c r="J78" i="66"/>
  <c r="B13" i="76"/>
  <c r="E13" i="76" s="1"/>
  <c r="G90" i="66"/>
  <c r="J66" i="65"/>
  <c r="M51" i="75"/>
  <c r="E10" i="66"/>
  <c r="B26" i="76" l="1"/>
  <c r="G26" i="76" s="1"/>
  <c r="I26" i="76" s="1"/>
  <c r="J26" i="76" s="1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H13" i="75" l="1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J10" i="66" l="1"/>
  <c r="K10" i="66" s="1"/>
  <c r="B33" i="78"/>
  <c r="E33" i="78" s="1"/>
  <c r="F33" i="78" s="1"/>
  <c r="D47" i="76"/>
  <c r="K47" i="76" s="1"/>
  <c r="D31" i="78"/>
  <c r="C31" i="78"/>
  <c r="E31" i="78"/>
  <c r="J34" i="76"/>
  <c r="H34" i="76"/>
  <c r="I22" i="66"/>
  <c r="I35" i="66" s="1"/>
  <c r="D34" i="76" s="1"/>
  <c r="K34" i="76" s="1"/>
  <c r="B32" i="78"/>
  <c r="C47" i="76"/>
  <c r="B34" i="76"/>
  <c r="G48" i="66"/>
  <c r="E11" i="66"/>
  <c r="E12" i="66"/>
  <c r="E9" i="66"/>
  <c r="J35" i="66" l="1"/>
  <c r="J22" i="66"/>
  <c r="G9" i="66"/>
  <c r="E21" i="66"/>
  <c r="G21" i="66" s="1"/>
  <c r="D32" i="78"/>
  <c r="E32" i="78"/>
  <c r="E34" i="78" s="1"/>
  <c r="I60" i="66" s="1"/>
  <c r="I72" i="66" s="1"/>
  <c r="D7" i="76" s="1"/>
  <c r="H7" i="76" s="1"/>
  <c r="G12" i="66"/>
  <c r="E24" i="66"/>
  <c r="G24" i="66" s="1"/>
  <c r="G34" i="76"/>
  <c r="I34" i="76" s="1"/>
  <c r="L34" i="76" s="1"/>
  <c r="M34" i="76" s="1"/>
  <c r="H48" i="66"/>
  <c r="I48" i="66" s="1"/>
  <c r="B34" i="78"/>
  <c r="G11" i="66"/>
  <c r="E23" i="66"/>
  <c r="G23" i="66" s="1"/>
  <c r="J47" i="76"/>
  <c r="H47" i="76"/>
  <c r="I47" i="76" s="1"/>
  <c r="F31" i="78"/>
  <c r="C34" i="78"/>
  <c r="G60" i="66" s="1"/>
  <c r="E9" i="65"/>
  <c r="E13" i="65"/>
  <c r="G22" i="80"/>
  <c r="G24" i="80" s="1"/>
  <c r="E8" i="66"/>
  <c r="L47" i="76" l="1"/>
  <c r="M47" i="76" s="1"/>
  <c r="E20" i="66"/>
  <c r="G20" i="66" s="1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26" i="80"/>
  <c r="G13" i="80" s="1"/>
  <c r="G15" i="80" s="1"/>
  <c r="G8" i="80"/>
  <c r="G9" i="80" s="1"/>
  <c r="G49" i="76"/>
  <c r="H12" i="66"/>
  <c r="B86" i="78"/>
  <c r="B49" i="76"/>
  <c r="B46" i="76"/>
  <c r="G46" i="76"/>
  <c r="B20" i="78"/>
  <c r="H9" i="66"/>
  <c r="E12" i="65"/>
  <c r="I23" i="66" l="1"/>
  <c r="I36" i="66" s="1"/>
  <c r="D35" i="76" s="1"/>
  <c r="K35" i="76" s="1"/>
  <c r="I24" i="66"/>
  <c r="I37" i="66" s="1"/>
  <c r="D36" i="76" s="1"/>
  <c r="K36" i="76" s="1"/>
  <c r="I21" i="66"/>
  <c r="I34" i="66" s="1"/>
  <c r="D33" i="76" s="1"/>
  <c r="K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B53" i="76" s="1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H20" i="66"/>
  <c r="G33" i="66"/>
  <c r="G84" i="66"/>
  <c r="B7" i="76"/>
  <c r="E7" i="76" s="1"/>
  <c r="J72" i="66"/>
  <c r="B45" i="75"/>
  <c r="H9" i="65"/>
  <c r="I9" i="65" s="1"/>
  <c r="B9" i="77"/>
  <c r="G45" i="75"/>
  <c r="G19" i="80"/>
  <c r="G16" i="80"/>
  <c r="I11" i="66"/>
  <c r="G49" i="66"/>
  <c r="B35" i="76"/>
  <c r="G50" i="66"/>
  <c r="B36" i="76"/>
  <c r="E20" i="78"/>
  <c r="D20" i="78"/>
  <c r="C20" i="78"/>
  <c r="I12" i="66"/>
  <c r="G7" i="76"/>
  <c r="I7" i="76" s="1"/>
  <c r="J60" i="66"/>
  <c r="G34" i="65"/>
  <c r="H21" i="65"/>
  <c r="I21" i="65" s="1"/>
  <c r="J23" i="66" l="1"/>
  <c r="J36" i="66"/>
  <c r="J34" i="66"/>
  <c r="J21" i="66"/>
  <c r="J13" i="65"/>
  <c r="K13" i="65" s="1"/>
  <c r="J37" i="66"/>
  <c r="J24" i="66"/>
  <c r="G36" i="76"/>
  <c r="I36" i="76" s="1"/>
  <c r="L36" i="76" s="1"/>
  <c r="M36" i="76" s="1"/>
  <c r="H50" i="66"/>
  <c r="I50" i="66" s="1"/>
  <c r="D48" i="76"/>
  <c r="K48" i="76" s="1"/>
  <c r="B66" i="78"/>
  <c r="J11" i="66"/>
  <c r="K11" i="66" s="1"/>
  <c r="B32" i="76"/>
  <c r="G46" i="66"/>
  <c r="B36" i="75"/>
  <c r="G51" i="65"/>
  <c r="D46" i="76"/>
  <c r="K46" i="76" s="1"/>
  <c r="B22" i="78"/>
  <c r="J9" i="66"/>
  <c r="K9" i="66" s="1"/>
  <c r="G17" i="66"/>
  <c r="B54" i="76"/>
  <c r="G48" i="75"/>
  <c r="H12" i="65"/>
  <c r="B53" i="77"/>
  <c r="B48" i="75"/>
  <c r="H34" i="65"/>
  <c r="H33" i="66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I20" i="66"/>
  <c r="J20" i="66" s="1"/>
  <c r="H46" i="76"/>
  <c r="I46" i="76" s="1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I49" i="76" s="1"/>
  <c r="D49" i="76"/>
  <c r="K49" i="76" s="1"/>
  <c r="B88" i="78"/>
  <c r="J12" i="66"/>
  <c r="K12" i="66" s="1"/>
  <c r="H47" i="66"/>
  <c r="I47" i="66" s="1"/>
  <c r="G33" i="76"/>
  <c r="I33" i="76" s="1"/>
  <c r="L33" i="76" s="1"/>
  <c r="M33" i="76" s="1"/>
  <c r="G53" i="76"/>
  <c r="H20" i="76"/>
  <c r="F20" i="78"/>
  <c r="C23" i="78"/>
  <c r="G59" i="66" s="1"/>
  <c r="H49" i="66"/>
  <c r="I49" i="66" s="1"/>
  <c r="G35" i="76"/>
  <c r="I35" i="76" s="1"/>
  <c r="L35" i="76" s="1"/>
  <c r="M35" i="76" s="1"/>
  <c r="C45" i="75"/>
  <c r="B10" i="77"/>
  <c r="H84" i="66"/>
  <c r="B20" i="76"/>
  <c r="G20" i="76" s="1"/>
  <c r="I20" i="76" s="1"/>
  <c r="J20" i="76" s="1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I48" i="76" s="1"/>
  <c r="J48" i="76"/>
  <c r="J34" i="65" l="1"/>
  <c r="I24" i="65"/>
  <c r="I37" i="65" s="1"/>
  <c r="D35" i="75" s="1"/>
  <c r="K35" i="75" s="1"/>
  <c r="L48" i="76"/>
  <c r="M48" i="76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C54" i="76" s="1"/>
  <c r="H45" i="76"/>
  <c r="J45" i="76"/>
  <c r="J53" i="76" s="1"/>
  <c r="E94" i="78"/>
  <c r="J45" i="75"/>
  <c r="H45" i="75"/>
  <c r="E88" i="78"/>
  <c r="B89" i="78"/>
  <c r="K45" i="75"/>
  <c r="D32" i="75"/>
  <c r="I33" i="66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L46" i="76"/>
  <c r="M46" i="76" s="1"/>
  <c r="C12" i="77"/>
  <c r="G59" i="65" s="1"/>
  <c r="F9" i="77"/>
  <c r="H35" i="75"/>
  <c r="J35" i="75"/>
  <c r="D89" i="78"/>
  <c r="H62" i="66" s="1"/>
  <c r="H74" i="66" s="1"/>
  <c r="C9" i="76" s="1"/>
  <c r="F87" i="78"/>
  <c r="C32" i="76"/>
  <c r="H46" i="66"/>
  <c r="G32" i="76"/>
  <c r="D10" i="77"/>
  <c r="D12" i="77" s="1"/>
  <c r="H59" i="65" s="1"/>
  <c r="E10" i="77"/>
  <c r="E11" i="77"/>
  <c r="K45" i="76"/>
  <c r="K53" i="76" s="1"/>
  <c r="D53" i="76"/>
  <c r="D54" i="76" s="1"/>
  <c r="H49" i="75"/>
  <c r="I49" i="75" s="1"/>
  <c r="J49" i="75"/>
  <c r="L49" i="76"/>
  <c r="M49" i="76" s="1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G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J24" i="65" l="1"/>
  <c r="E12" i="78"/>
  <c r="I58" i="66" s="1"/>
  <c r="I70" i="66" s="1"/>
  <c r="B97" i="78"/>
  <c r="K54" i="76"/>
  <c r="J37" i="65"/>
  <c r="F23" i="78"/>
  <c r="E23" i="78"/>
  <c r="I59" i="66" s="1"/>
  <c r="I71" i="66" s="1"/>
  <c r="D6" i="76" s="1"/>
  <c r="H6" i="76" s="1"/>
  <c r="E12" i="77"/>
  <c r="I59" i="65" s="1"/>
  <c r="I71" i="65" s="1"/>
  <c r="G41" i="65"/>
  <c r="G78" i="65"/>
  <c r="G40" i="66"/>
  <c r="G77" i="66"/>
  <c r="G29" i="66"/>
  <c r="L49" i="75"/>
  <c r="M49" i="75" s="1"/>
  <c r="G71" i="65"/>
  <c r="C97" i="78"/>
  <c r="F94" i="78"/>
  <c r="K32" i="75"/>
  <c r="H48" i="75"/>
  <c r="I48" i="75" s="1"/>
  <c r="J48" i="75"/>
  <c r="H21" i="76"/>
  <c r="B8" i="76"/>
  <c r="G85" i="66"/>
  <c r="I47" i="65"/>
  <c r="D32" i="76"/>
  <c r="J33" i="66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I46" i="66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H32" i="76"/>
  <c r="J32" i="76"/>
  <c r="F11" i="78"/>
  <c r="E96" i="78"/>
  <c r="F96" i="78" s="1"/>
  <c r="G70" i="66"/>
  <c r="G67" i="66"/>
  <c r="H53" i="76"/>
  <c r="I45" i="76"/>
  <c r="G86" i="66"/>
  <c r="B9" i="76"/>
  <c r="G75" i="65"/>
  <c r="D12" i="78"/>
  <c r="H58" i="66" s="1"/>
  <c r="J59" i="66" l="1"/>
  <c r="J71" i="66"/>
  <c r="J58" i="66"/>
  <c r="G80" i="66"/>
  <c r="J59" i="65"/>
  <c r="F12" i="78"/>
  <c r="E6" i="76"/>
  <c r="I6" i="76"/>
  <c r="F97" i="78"/>
  <c r="E9" i="76"/>
  <c r="B39" i="76"/>
  <c r="B41" i="76" s="1"/>
  <c r="G53" i="66"/>
  <c r="G42" i="66"/>
  <c r="G30" i="66"/>
  <c r="G43" i="66"/>
  <c r="B12" i="75"/>
  <c r="G90" i="65"/>
  <c r="G89" i="66"/>
  <c r="B12" i="76"/>
  <c r="B39" i="75"/>
  <c r="G54" i="65"/>
  <c r="J74" i="66"/>
  <c r="I9" i="76"/>
  <c r="L48" i="75"/>
  <c r="M48" i="75" s="1"/>
  <c r="H22" i="76"/>
  <c r="G68" i="66"/>
  <c r="G83" i="65"/>
  <c r="B5" i="75"/>
  <c r="J71" i="65"/>
  <c r="G8" i="75"/>
  <c r="H21" i="75" s="1"/>
  <c r="H85" i="66"/>
  <c r="B21" i="76"/>
  <c r="G21" i="76" s="1"/>
  <c r="I21" i="76" s="1"/>
  <c r="L32" i="75"/>
  <c r="J63" i="65"/>
  <c r="B22" i="76"/>
  <c r="G22" i="76" s="1"/>
  <c r="H86" i="66"/>
  <c r="F12" i="77"/>
  <c r="C5" i="75"/>
  <c r="I73" i="66"/>
  <c r="J61" i="66"/>
  <c r="J62" i="66"/>
  <c r="G74" i="65"/>
  <c r="F54" i="77"/>
  <c r="K32" i="76"/>
  <c r="D97" i="78"/>
  <c r="D5" i="76"/>
  <c r="H67" i="66"/>
  <c r="H70" i="66"/>
  <c r="I32" i="76"/>
  <c r="B19" i="76"/>
  <c r="G19" i="76" s="1"/>
  <c r="H83" i="66"/>
  <c r="G87" i="65"/>
  <c r="B9" i="75"/>
  <c r="E9" i="75" s="1"/>
  <c r="J75" i="65"/>
  <c r="L45" i="76"/>
  <c r="L53" i="76" s="1"/>
  <c r="I53" i="76"/>
  <c r="B5" i="76"/>
  <c r="G79" i="66"/>
  <c r="G82" i="66"/>
  <c r="H19" i="76"/>
  <c r="E97" i="78"/>
  <c r="E55" i="77"/>
  <c r="F55" i="77" s="1"/>
  <c r="B56" i="77"/>
  <c r="L45" i="75"/>
  <c r="M45" i="75" s="1"/>
  <c r="I67" i="66"/>
  <c r="D5" i="75"/>
  <c r="I9" i="75"/>
  <c r="I22" i="76" l="1"/>
  <c r="J22" i="76" s="1"/>
  <c r="B25" i="76"/>
  <c r="G25" i="76" s="1"/>
  <c r="G39" i="75"/>
  <c r="B25" i="75"/>
  <c r="G25" i="75" s="1"/>
  <c r="B42" i="76"/>
  <c r="G56" i="66"/>
  <c r="G39" i="76"/>
  <c r="G55" i="66"/>
  <c r="I68" i="66"/>
  <c r="H68" i="66"/>
  <c r="J67" i="66"/>
  <c r="C5" i="76"/>
  <c r="E5" i="76" s="1"/>
  <c r="F56" i="77"/>
  <c r="H5" i="75"/>
  <c r="D32" i="71"/>
  <c r="D33" i="71" s="1"/>
  <c r="Y32" i="71"/>
  <c r="Y33" i="71" s="1"/>
  <c r="I83" i="66"/>
  <c r="D19" i="76" s="1"/>
  <c r="C19" i="76"/>
  <c r="D8" i="76"/>
  <c r="J73" i="66"/>
  <c r="B14" i="76"/>
  <c r="I19" i="76"/>
  <c r="J19" i="76" s="1"/>
  <c r="M32" i="75"/>
  <c r="B8" i="75"/>
  <c r="G86" i="65"/>
  <c r="H82" i="66"/>
  <c r="G91" i="66"/>
  <c r="D44" i="71" s="1"/>
  <c r="B18" i="76"/>
  <c r="B22" i="75"/>
  <c r="G22" i="75" s="1"/>
  <c r="I22" i="75" s="1"/>
  <c r="J22" i="75" s="1"/>
  <c r="H87" i="65"/>
  <c r="H5" i="76"/>
  <c r="E5" i="75"/>
  <c r="C22" i="76"/>
  <c r="I86" i="66"/>
  <c r="D22" i="76" s="1"/>
  <c r="B18" i="75"/>
  <c r="H83" i="65"/>
  <c r="J70" i="66"/>
  <c r="M45" i="76"/>
  <c r="L32" i="76"/>
  <c r="G5" i="75"/>
  <c r="I85" i="66"/>
  <c r="D21" i="76" s="1"/>
  <c r="C21" i="76"/>
  <c r="E56" i="77"/>
  <c r="I62" i="65" s="1"/>
  <c r="M53" i="76" l="1"/>
  <c r="G41" i="76"/>
  <c r="M32" i="76"/>
  <c r="B15" i="76"/>
  <c r="D45" i="71"/>
  <c r="Y44" i="71"/>
  <c r="Y45" i="71" s="1"/>
  <c r="I87" i="65"/>
  <c r="D22" i="75" s="1"/>
  <c r="C22" i="75"/>
  <c r="H8" i="76"/>
  <c r="I8" i="76" s="1"/>
  <c r="J21" i="76" s="1"/>
  <c r="E8" i="76"/>
  <c r="I74" i="65"/>
  <c r="J62" i="65"/>
  <c r="H18" i="75"/>
  <c r="I5" i="75"/>
  <c r="G5" i="76"/>
  <c r="G18" i="75"/>
  <c r="H86" i="65"/>
  <c r="B21" i="75"/>
  <c r="G21" i="75" s="1"/>
  <c r="I21" i="75" s="1"/>
  <c r="C18" i="76"/>
  <c r="I82" i="66"/>
  <c r="C18" i="75"/>
  <c r="I83" i="65"/>
  <c r="G18" i="76"/>
  <c r="B27" i="76"/>
  <c r="G27" i="76" l="1"/>
  <c r="I18" i="75"/>
  <c r="J18" i="75" s="1"/>
  <c r="D18" i="76"/>
  <c r="H18" i="76"/>
  <c r="I5" i="76"/>
  <c r="I86" i="65"/>
  <c r="D21" i="75" s="1"/>
  <c r="C21" i="75"/>
  <c r="D18" i="75"/>
  <c r="D8" i="75"/>
  <c r="J74" i="65"/>
  <c r="B28" i="76"/>
  <c r="H8" i="75" l="1"/>
  <c r="I8" i="75" s="1"/>
  <c r="J21" i="75" s="1"/>
  <c r="E8" i="75"/>
  <c r="I18" i="76"/>
  <c r="J18" i="76" l="1"/>
  <c r="H27" i="66" l="1"/>
  <c r="H28" i="65"/>
  <c r="H40" i="66" l="1"/>
  <c r="H77" i="66"/>
  <c r="H29" i="66"/>
  <c r="H41" i="65"/>
  <c r="H78" i="65"/>
  <c r="H30" i="66" l="1"/>
  <c r="H43" i="66"/>
  <c r="H80" i="66"/>
  <c r="C12" i="75"/>
  <c r="H90" i="65"/>
  <c r="C12" i="76"/>
  <c r="H79" i="66"/>
  <c r="H89" i="66"/>
  <c r="C39" i="75"/>
  <c r="H54" i="65"/>
  <c r="C39" i="76"/>
  <c r="H42" i="66"/>
  <c r="H53" i="66"/>
  <c r="E11" i="65"/>
  <c r="G12" i="75" l="1"/>
  <c r="H56" i="66"/>
  <c r="J39" i="75"/>
  <c r="H39" i="75"/>
  <c r="I39" i="75" s="1"/>
  <c r="G12" i="76"/>
  <c r="C14" i="76"/>
  <c r="H39" i="76"/>
  <c r="J39" i="76"/>
  <c r="J41" i="76" s="1"/>
  <c r="C41" i="76"/>
  <c r="H42" i="76" s="1"/>
  <c r="C25" i="76"/>
  <c r="C27" i="76" s="1"/>
  <c r="H91" i="66"/>
  <c r="E44" i="71" s="1"/>
  <c r="C25" i="75"/>
  <c r="H55" i="66"/>
  <c r="Z32" i="71"/>
  <c r="Z33" i="71" s="1"/>
  <c r="E32" i="71"/>
  <c r="E33" i="71" s="1"/>
  <c r="E23" i="65"/>
  <c r="G23" i="65" s="1"/>
  <c r="G11" i="65"/>
  <c r="C15" i="76" l="1"/>
  <c r="Z44" i="71"/>
  <c r="Z45" i="71" s="1"/>
  <c r="E45" i="71"/>
  <c r="C28" i="76" s="1"/>
  <c r="H25" i="76"/>
  <c r="G14" i="76"/>
  <c r="N15" i="74" s="1"/>
  <c r="C42" i="76"/>
  <c r="H41" i="76"/>
  <c r="I39" i="76"/>
  <c r="H28" i="76"/>
  <c r="I28" i="76" s="1"/>
  <c r="G15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H27" i="76"/>
  <c r="N16" i="74"/>
  <c r="R15" i="74"/>
  <c r="I41" i="76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18" i="65" s="1"/>
  <c r="H36" i="65"/>
  <c r="H30" i="65"/>
  <c r="B22" i="77"/>
  <c r="D47" i="75"/>
  <c r="I17" i="65"/>
  <c r="G53" i="75"/>
  <c r="J36" i="65" l="1"/>
  <c r="I18" i="65"/>
  <c r="N17" i="74"/>
  <c r="R16" i="74"/>
  <c r="I27" i="76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R17" i="74" l="1"/>
  <c r="N18" i="74"/>
  <c r="B88" i="77"/>
  <c r="O14" i="74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N19" i="74"/>
  <c r="R18" i="74"/>
  <c r="O15" i="74"/>
  <c r="O16" i="74" s="1"/>
  <c r="O17" i="74" s="1"/>
  <c r="O18" i="74" s="1"/>
  <c r="S14" i="74"/>
  <c r="S15" i="74" s="1"/>
  <c r="S16" i="74" s="1"/>
  <c r="S17" i="74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47" i="75"/>
  <c r="H69" i="65"/>
  <c r="S18" i="74"/>
  <c r="O19" i="74"/>
  <c r="R19" i="74"/>
  <c r="N20" i="74"/>
  <c r="J73" i="65"/>
  <c r="B15" i="75"/>
  <c r="H85" i="65"/>
  <c r="B20" i="75"/>
  <c r="G92" i="65"/>
  <c r="D42" i="70" s="1"/>
  <c r="D43" i="70" s="1"/>
  <c r="M34" i="75"/>
  <c r="I69" i="65"/>
  <c r="D7" i="75"/>
  <c r="C7" i="75"/>
  <c r="H80" i="65"/>
  <c r="E30" i="70" s="1"/>
  <c r="E31" i="70" s="1"/>
  <c r="M53" i="75" l="1"/>
  <c r="N21" i="74"/>
  <c r="R20" i="74"/>
  <c r="S19" i="74"/>
  <c r="O20" i="74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O21" i="74" l="1"/>
  <c r="S20" i="74"/>
  <c r="N22" i="74"/>
  <c r="R22" i="74" s="1"/>
  <c r="R21" i="74"/>
  <c r="H20" i="75"/>
  <c r="H27" i="75" s="1"/>
  <c r="I7" i="75"/>
  <c r="G14" i="75"/>
  <c r="D15" i="74" s="1"/>
  <c r="C28" i="75"/>
  <c r="H28" i="75"/>
  <c r="G15" i="75"/>
  <c r="D20" i="75"/>
  <c r="C15" i="75"/>
  <c r="G27" i="75"/>
  <c r="O22" i="74" l="1"/>
  <c r="I20" i="75"/>
  <c r="I27" i="75" s="1"/>
  <c r="S21" i="74"/>
  <c r="S22" i="74" s="1"/>
  <c r="D16" i="74"/>
  <c r="H15" i="74"/>
  <c r="I28" i="75"/>
  <c r="I27" i="66"/>
  <c r="I28" i="65"/>
  <c r="J20" i="75" l="1"/>
  <c r="I40" i="66"/>
  <c r="I77" i="66"/>
  <c r="I29" i="66"/>
  <c r="J27" i="66"/>
  <c r="J29" i="66" s="1"/>
  <c r="J80" i="66" s="1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I79" i="66"/>
  <c r="J77" i="66"/>
  <c r="J79" i="66" s="1"/>
  <c r="I89" i="66"/>
  <c r="I30" i="66"/>
  <c r="I43" i="66"/>
  <c r="J43" i="66" s="1"/>
  <c r="I80" i="66"/>
  <c r="I31" i="65"/>
  <c r="I44" i="65"/>
  <c r="J44" i="65" s="1"/>
  <c r="I81" i="65"/>
  <c r="D39" i="76"/>
  <c r="I42" i="66"/>
  <c r="I56" i="66" s="1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D27" i="76" s="1"/>
  <c r="I91" i="66"/>
  <c r="F44" i="71" s="1"/>
  <c r="K39" i="76"/>
  <c r="D41" i="76"/>
  <c r="D42" i="76" s="1"/>
  <c r="K54" i="65"/>
  <c r="I56" i="65"/>
  <c r="I17" i="74"/>
  <c r="K53" i="66"/>
  <c r="I55" i="66"/>
  <c r="AA32" i="71"/>
  <c r="AA33" i="71" s="1"/>
  <c r="F32" i="71"/>
  <c r="F33" i="71" s="1"/>
  <c r="D25" i="75"/>
  <c r="D27" i="75" s="1"/>
  <c r="I92" i="65"/>
  <c r="F42" i="70" s="1"/>
  <c r="F43" i="70" s="1"/>
  <c r="E18" i="74"/>
  <c r="K40" i="66"/>
  <c r="J42" i="66"/>
  <c r="H12" i="76"/>
  <c r="D14" i="76"/>
  <c r="H15" i="76" s="1"/>
  <c r="I15" i="76" s="1"/>
  <c r="E12" i="76"/>
  <c r="E14" i="76" s="1"/>
  <c r="K39" i="75"/>
  <c r="D41" i="75"/>
  <c r="D42" i="75" s="1"/>
  <c r="H12" i="75"/>
  <c r="E12" i="75"/>
  <c r="E14" i="75" s="1"/>
  <c r="D14" i="75"/>
  <c r="H15" i="75" s="1"/>
  <c r="I15" i="75" s="1"/>
  <c r="D19" i="74"/>
  <c r="H18" i="74"/>
  <c r="D15" i="76" l="1"/>
  <c r="D28" i="75"/>
  <c r="I18" i="74"/>
  <c r="I12" i="75"/>
  <c r="H14" i="75"/>
  <c r="D23" i="74" s="1"/>
  <c r="D15" i="75"/>
  <c r="K41" i="76"/>
  <c r="K42" i="76" s="1"/>
  <c r="L39" i="76"/>
  <c r="H14" i="76"/>
  <c r="N23" i="74" s="1"/>
  <c r="I12" i="76"/>
  <c r="AA44" i="71"/>
  <c r="AA45" i="71" s="1"/>
  <c r="F45" i="71"/>
  <c r="D28" i="76" s="1"/>
  <c r="L39" i="75"/>
  <c r="K41" i="75"/>
  <c r="K42" i="75" s="1"/>
  <c r="D20" i="74"/>
  <c r="H19" i="74"/>
  <c r="E19" i="74"/>
  <c r="I19" i="74" l="1"/>
  <c r="E20" i="74"/>
  <c r="I14" i="76"/>
  <c r="J28" i="76" s="1"/>
  <c r="J25" i="76"/>
  <c r="N24" i="74"/>
  <c r="R23" i="74"/>
  <c r="S23" i="74" s="1"/>
  <c r="O23" i="74"/>
  <c r="H23" i="74"/>
  <c r="D24" i="74"/>
  <c r="M39" i="76"/>
  <c r="L41" i="76"/>
  <c r="J25" i="75"/>
  <c r="J27" i="75" s="1"/>
  <c r="I14" i="75"/>
  <c r="J28" i="75" s="1"/>
  <c r="M39" i="75"/>
  <c r="L41" i="75"/>
  <c r="D21" i="74"/>
  <c r="H20" i="74"/>
  <c r="I20" i="74" l="1"/>
  <c r="M41" i="75"/>
  <c r="M41" i="76"/>
  <c r="J27" i="76"/>
  <c r="H24" i="74"/>
  <c r="D25" i="74"/>
  <c r="R24" i="74"/>
  <c r="S24" i="74" s="1"/>
  <c r="N25" i="74"/>
  <c r="O24" i="74"/>
  <c r="D22" i="74"/>
  <c r="H21" i="74"/>
  <c r="I21" i="74" s="1"/>
  <c r="E21" i="74"/>
  <c r="O25" i="74" l="1"/>
  <c r="R25" i="74"/>
  <c r="S25" i="74" s="1"/>
  <c r="N26" i="74"/>
  <c r="D26" i="74"/>
  <c r="H26" i="74" s="1"/>
  <c r="H25" i="74"/>
  <c r="H22" i="74"/>
  <c r="E22" i="74"/>
  <c r="E23" i="74" s="1"/>
  <c r="E24" i="74" s="1"/>
  <c r="E25" i="74" s="1"/>
  <c r="O26" i="74" l="1"/>
  <c r="O29" i="74" s="1"/>
  <c r="E26" i="74"/>
  <c r="E29" i="74" s="1"/>
  <c r="D27" i="74"/>
  <c r="H27" i="74"/>
  <c r="R26" i="74"/>
  <c r="R27" i="74" s="1"/>
  <c r="N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S26" i="74"/>
  <c r="S29" i="74" s="1"/>
  <c r="K27" i="76" s="1"/>
  <c r="L27" i="76" s="1"/>
  <c r="K19" i="75"/>
  <c r="K22" i="75"/>
  <c r="K23" i="76" l="1"/>
  <c r="K22" i="76"/>
  <c r="K19" i="76"/>
  <c r="K24" i="76"/>
  <c r="K21" i="76"/>
  <c r="K26" i="76"/>
  <c r="K20" i="76"/>
  <c r="K18" i="76"/>
  <c r="K25" i="76"/>
  <c r="E7" i="80" l="1"/>
  <c r="E11" i="80" s="1"/>
  <c r="E22" i="80" l="1"/>
  <c r="E24" i="80" s="1"/>
  <c r="E26" i="80" s="1"/>
  <c r="E13" i="80" s="1"/>
  <c r="E8" i="80" l="1"/>
  <c r="E9" i="80" s="1"/>
  <c r="E15" i="80"/>
  <c r="H7" i="80"/>
  <c r="H11" i="80" s="1"/>
  <c r="E16" i="80" l="1"/>
  <c r="H22" i="80"/>
  <c r="H24" i="80" s="1"/>
  <c r="H26" i="80" l="1"/>
  <c r="H13" i="80" s="1"/>
  <c r="H8" i="80"/>
  <c r="H9" i="80" s="1"/>
  <c r="H15" i="80" l="1"/>
  <c r="H16" i="80" s="1"/>
  <c r="E18" i="80" l="1"/>
  <c r="E19" i="80" s="1"/>
  <c r="H18" i="80" l="1"/>
  <c r="H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<sst xmlns="http://schemas.openxmlformats.org/spreadsheetml/2006/main" count="10330" uniqueCount="1889">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</sst>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133012738.63851058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71911524.327427596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61926370.707987964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18767167.587415632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BS and CWC Recon, p1"/>
      <sheetName val="BS and CWC Recon, p2"/>
      <sheetName val="EOP BS and CWC Recon, p1"/>
      <sheetName val="EOP BS and CWC Recon, p2"/>
      <sheetName val="PPXLSaveData0"/>
      <sheetName val="PPXLFunctions"/>
      <sheetName val="PPXLOpen"/>
      <sheetName val="3.04 &amp; 4.04 Lead"/>
    </sheetNames>
    <sheetDataSet>
      <sheetData sheetId="0" refreshError="1"/>
      <sheetData sheetId="1" refreshError="1"/>
      <sheetData sheetId="2">
        <row r="92"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 refreshError="1"/>
      <sheetData sheetId="1" refreshError="1"/>
      <sheetData sheetId="2" refreshError="1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H12">
            <v>2.87E-2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19">
          <cell r="D19">
            <v>23512518.929999996</v>
          </cell>
        </row>
        <row r="39">
          <cell r="D39">
            <v>42298712.619999997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>
        <row r="12">
          <cell r="H12">
            <v>2.87E-2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workbookViewId="0">
      <selection activeCell="K27" sqref="K27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 ca="1">'electric activity'!G70+'PT elect'!D23</f>
        <v>-24327638.838601556</v>
      </c>
      <c r="C5" s="5">
        <f ca="1">'electric activity'!H70+'PT elect'!E23</f>
        <v>-24541251.143454965</v>
      </c>
      <c r="D5" s="5">
        <f ca="1">'electric activity'!I70+'PT elect'!F23</f>
        <v>-22707378.356099311</v>
      </c>
      <c r="E5" s="5">
        <f ca="1">SUM(B5:D5)</f>
        <v>-71576268.338155836</v>
      </c>
      <c r="G5" s="112">
        <f ca="1">C5/12*8</f>
        <v>-16360834.095636643</v>
      </c>
      <c r="H5" s="112">
        <f ca="1">D5/12*4</f>
        <v>-7569126.1186997704</v>
      </c>
      <c r="I5" s="7">
        <f ca="1">SUM(G5:H5)</f>
        <v>-23929960.214336414</v>
      </c>
    </row>
    <row r="6" spans="1:9">
      <c r="A6" s="6" t="s">
        <v>7</v>
      </c>
      <c r="B6" s="5">
        <f ca="1">'electric activity'!G71+'PT elect'!D24</f>
        <v>-696310.40346840874</v>
      </c>
      <c r="C6" s="5">
        <f ca="1">'electric activity'!H71+'PT elect'!E24</f>
        <v>-229452.4472356583</v>
      </c>
      <c r="D6" s="5">
        <f ca="1">'electric activity'!I71+'PT elect'!F24</f>
        <v>199513.4839118137</v>
      </c>
      <c r="E6" s="5">
        <f ca="1">SUM(B6:D6)</f>
        <v>-726249.36679225334</v>
      </c>
      <c r="G6" s="112">
        <f t="shared" ref="G6:G13" ca="1" si="0">C6/12*8</f>
        <v>-152968.29815710554</v>
      </c>
      <c r="H6" s="112">
        <f t="shared" ref="H6:H13" ca="1" si="1">D6/12*4</f>
        <v>66504.494637271229</v>
      </c>
      <c r="I6" s="7">
        <f t="shared" ref="I6:I13" ca="1" si="2">SUM(G6:H6)</f>
        <v>-86463.803519834313</v>
      </c>
    </row>
    <row r="7" spans="1:9">
      <c r="A7" s="6" t="s">
        <v>8</v>
      </c>
      <c r="B7" s="5">
        <f ca="1">'electric activity'!G72+'PT elect'!D25</f>
        <v>-4899674.3003995065</v>
      </c>
      <c r="C7" s="5">
        <f ca="1">'electric activity'!H72+'PT elect'!E25</f>
        <v>-5801306.131709015</v>
      </c>
      <c r="D7" s="5">
        <f ca="1">'electric activity'!I72+'PT elect'!F25</f>
        <v>-7525513.3428617949</v>
      </c>
      <c r="E7" s="5">
        <f ca="1">SUM(B7:D7)</f>
        <v>-18226493.774970315</v>
      </c>
      <c r="G7" s="112">
        <f t="shared" ca="1" si="0"/>
        <v>-3867537.4211393432</v>
      </c>
      <c r="H7" s="112">
        <f t="shared" ca="1" si="1"/>
        <v>-2508504.4476205981</v>
      </c>
      <c r="I7" s="7">
        <f t="shared" ca="1" si="2"/>
        <v>-6376041.8687599413</v>
      </c>
    </row>
    <row r="8" spans="1:9">
      <c r="A8" s="6" t="s">
        <v>16</v>
      </c>
      <c r="B8" s="5">
        <f ca="1">'electric activity'!G73+'PT elect'!D26</f>
        <v>-2904067.8913521981</v>
      </c>
      <c r="C8" s="5">
        <f ca="1">'electric activity'!H73+'PT elect'!E26</f>
        <v>-1638420.8899826785</v>
      </c>
      <c r="D8" s="5">
        <f ca="1">'electric activity'!I73+'PT elect'!F26</f>
        <v>3653862.2713292437</v>
      </c>
      <c r="E8" s="5">
        <f t="shared" ref="E8:E12" ca="1" si="3">SUM(B8:D8)</f>
        <v>-888626.51000563335</v>
      </c>
      <c r="G8" s="112">
        <f t="shared" ca="1" si="0"/>
        <v>-1092280.5933217856</v>
      </c>
      <c r="H8" s="112">
        <f t="shared" ca="1" si="1"/>
        <v>1217954.0904430812</v>
      </c>
      <c r="I8" s="7">
        <f t="shared" ca="1" si="2"/>
        <v>125673.49712129566</v>
      </c>
    </row>
    <row r="9" spans="1:9">
      <c r="A9" s="6" t="s">
        <v>17</v>
      </c>
      <c r="B9" s="5">
        <f ca="1">'electric activity'!G74+'PT elect'!D27</f>
        <v>794328.47569500376</v>
      </c>
      <c r="C9" s="5">
        <f ca="1">'electric activity'!H74+'PT elect'!E27</f>
        <v>-776431.22694215318</v>
      </c>
      <c r="D9" s="5">
        <f ca="1">'electric activity'!I74+'PT elect'!F27</f>
        <v>-7622138.239211021</v>
      </c>
      <c r="E9" s="5">
        <f t="shared" ca="1" si="3"/>
        <v>-7604240.99045817</v>
      </c>
      <c r="G9" s="112">
        <f t="shared" ca="1" si="0"/>
        <v>-517620.81796143547</v>
      </c>
      <c r="H9" s="112">
        <f t="shared" ca="1" si="1"/>
        <v>-2540712.7464036737</v>
      </c>
      <c r="I9" s="7">
        <f t="shared" ca="1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 ca="1">SUM(B5:B13)</f>
        <v>-34912651.707696602</v>
      </c>
      <c r="C14" s="124">
        <f ca="1">SUM(C5:C13)</f>
        <v>-31452071.337184083</v>
      </c>
      <c r="D14" s="124">
        <f ca="1">SUM(D5:D13)</f>
        <v>-30176799.945015177</v>
      </c>
      <c r="E14" s="124">
        <f ca="1">SUM(E5:E13)</f>
        <v>-96541522.98989585</v>
      </c>
      <c r="G14" s="7">
        <f ca="1">SUM(G5:G13)</f>
        <v>-20968047.558122728</v>
      </c>
      <c r="H14" s="7">
        <f t="shared" ref="H14:I14" ca="1" si="4">SUM(H5:H13)</f>
        <v>-10058933.315005057</v>
      </c>
      <c r="I14" s="152">
        <f t="shared" ca="1" si="4"/>
        <v>-31026980.873127777</v>
      </c>
    </row>
    <row r="15" spans="1:9">
      <c r="B15" s="5">
        <f ca="1">'PT elect'!D33-B14</f>
        <v>0</v>
      </c>
      <c r="C15" s="5">
        <f ca="1">'PT elect'!E33-C14</f>
        <v>0</v>
      </c>
      <c r="D15" s="5">
        <f ca="1">'PT elect'!F33-D14</f>
        <v>0</v>
      </c>
      <c r="G15" s="154">
        <f ca="1">C14/12*8</f>
        <v>-20968047.558122721</v>
      </c>
      <c r="H15" s="154">
        <f ca="1">D14/12*4</f>
        <v>-10058933.315005058</v>
      </c>
      <c r="I15" s="154">
        <f ca="1"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'electric activity'!G82+'PT elect'!D35</f>
        <v>-454528019.32139844</v>
      </c>
      <c r="C18" s="5">
        <f ca="1">'electric activity'!H82+'PT elect'!E35</f>
        <v>-429986768.17794353</v>
      </c>
      <c r="D18" s="5">
        <f ca="1">'electric activity'!I82+'PT elect'!F35</f>
        <v>-407279389.82184416</v>
      </c>
      <c r="G18" s="9">
        <f ca="1">B18</f>
        <v>-454528019.32139844</v>
      </c>
      <c r="H18" s="7">
        <f t="shared" ref="H18:H26" ca="1" si="5">C5-G5</f>
        <v>-8180417.0478183217</v>
      </c>
      <c r="I18" s="9">
        <f ca="1">G18-H18</f>
        <v>-446347602.27358013</v>
      </c>
      <c r="J18" s="9">
        <f t="shared" ref="J18:J26" ca="1" si="6">I18-I5</f>
        <v>-422417642.05924374</v>
      </c>
      <c r="K18" s="112">
        <f ca="1">J18*$L$27</f>
        <v>-429416090.88161337</v>
      </c>
    </row>
    <row r="19" spans="1:13">
      <c r="A19" s="6" t="s">
        <v>7</v>
      </c>
      <c r="B19" s="5">
        <f ca="1">'electric activity'!G83+'PT elect'!D36</f>
        <v>-152432341.73653156</v>
      </c>
      <c r="C19" s="5">
        <f ca="1">'electric activity'!H83+'PT elect'!E36</f>
        <v>-152202889.28929591</v>
      </c>
      <c r="D19" s="5">
        <f ca="1">'electric activity'!I83+'PT elect'!F36</f>
        <v>-152402402.77320772</v>
      </c>
      <c r="G19" s="9">
        <f t="shared" ref="G19:G26" ca="1" si="7">B19</f>
        <v>-152432341.73653156</v>
      </c>
      <c r="H19" s="7">
        <f t="shared" ca="1" si="5"/>
        <v>-76484.149078552757</v>
      </c>
      <c r="I19" s="9">
        <f t="shared" ref="I19:I26" ca="1" si="8">G19-H19</f>
        <v>-152355857.58745301</v>
      </c>
      <c r="J19" s="9">
        <f t="shared" ca="1" si="6"/>
        <v>-152269393.78393316</v>
      </c>
      <c r="K19" s="112">
        <f t="shared" ref="K19:K26" ca="1" si="9">J19*$L$27</f>
        <v>-154792133.01995364</v>
      </c>
    </row>
    <row r="20" spans="1:13">
      <c r="A20" s="6" t="s">
        <v>8</v>
      </c>
      <c r="B20" s="5">
        <f ca="1">'electric activity'!G84+'PT elect'!D37</f>
        <v>-630395790.43960047</v>
      </c>
      <c r="C20" s="5">
        <f ca="1">'electric activity'!H84+'PT elect'!E37</f>
        <v>-624594484.30789149</v>
      </c>
      <c r="D20" s="5">
        <f ca="1">'electric activity'!I84+'PT elect'!F37</f>
        <v>-617068970.9650296</v>
      </c>
      <c r="G20" s="9">
        <f t="shared" ca="1" si="7"/>
        <v>-630395790.43960047</v>
      </c>
      <c r="H20" s="7">
        <f t="shared" ca="1" si="5"/>
        <v>-1933768.7105696718</v>
      </c>
      <c r="I20" s="9">
        <f t="shared" ca="1" si="8"/>
        <v>-628462021.72903085</v>
      </c>
      <c r="J20" s="9">
        <f t="shared" ca="1" si="6"/>
        <v>-622085979.86027086</v>
      </c>
      <c r="K20" s="112">
        <f t="shared" ca="1" si="9"/>
        <v>-632392454.92116606</v>
      </c>
    </row>
    <row r="21" spans="1:13">
      <c r="A21" s="6" t="s">
        <v>16</v>
      </c>
      <c r="B21" s="5">
        <f ca="1">'electric activity'!G85+'PT elect'!D38</f>
        <v>-12850407.458647801</v>
      </c>
      <c r="C21" s="5">
        <f ca="1">'electric activity'!H85+'PT elect'!E38</f>
        <v>-11211986.568665121</v>
      </c>
      <c r="D21" s="5">
        <f ca="1">'electric activity'!I85+'PT elect'!F38</f>
        <v>-14865848.839994365</v>
      </c>
      <c r="G21" s="9">
        <f t="shared" ca="1" si="7"/>
        <v>-12850407.458647801</v>
      </c>
      <c r="H21" s="7">
        <f t="shared" ca="1" si="5"/>
        <v>-546140.2966608929</v>
      </c>
      <c r="I21" s="9">
        <f t="shared" ca="1" si="8"/>
        <v>-12304267.161986908</v>
      </c>
      <c r="J21" s="9">
        <f t="shared" ca="1" si="6"/>
        <v>-12429940.659108203</v>
      </c>
      <c r="K21" s="112">
        <f t="shared" ca="1" si="9"/>
        <v>-12635875.011527272</v>
      </c>
    </row>
    <row r="22" spans="1:13">
      <c r="A22" s="6" t="s">
        <v>17</v>
      </c>
      <c r="B22" s="5">
        <f ca="1">'electric activity'!G86+'PT elect'!D39</f>
        <v>-72663533.412761003</v>
      </c>
      <c r="C22" s="5">
        <f ca="1">'electric activity'!H86+'PT elect'!E39</f>
        <v>-71887102.185818851</v>
      </c>
      <c r="D22" s="5">
        <f ca="1">'electric activity'!I86+'PT elect'!F39</f>
        <v>-64264963.946607828</v>
      </c>
      <c r="G22" s="9">
        <f t="shared" ca="1" si="7"/>
        <v>-72663533.412761003</v>
      </c>
      <c r="H22" s="7">
        <f t="shared" ca="1" si="5"/>
        <v>-258810.40898071771</v>
      </c>
      <c r="I22" s="9">
        <f t="shared" ca="1" si="8"/>
        <v>-72404723.00378029</v>
      </c>
      <c r="J22" s="9">
        <f t="shared" ca="1" si="6"/>
        <v>-69346389.439415187</v>
      </c>
      <c r="K22" s="112">
        <f t="shared" ca="1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ca="1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ca="1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ca="1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ca="1" si="9"/>
        <v>1592287.2922360862</v>
      </c>
    </row>
    <row r="27" spans="1:13">
      <c r="A27" s="129" t="s">
        <v>1</v>
      </c>
      <c r="B27" s="124">
        <f ca="1">SUM(B18:B26)</f>
        <v>-1322614371.6593692</v>
      </c>
      <c r="C27" s="124">
        <f t="shared" ref="C27:D27" ca="1" si="10">SUM(C18:C26)</f>
        <v>-1291162300.3221853</v>
      </c>
      <c r="D27" s="124">
        <f t="shared" ca="1" si="10"/>
        <v>-1260985500.3771701</v>
      </c>
      <c r="G27" s="9">
        <f ca="1">SUM(G18:G26)</f>
        <v>-1322614371.6593692</v>
      </c>
      <c r="H27" s="9">
        <f t="shared" ref="H27:I27" ca="1" si="11">SUM(H18:H26)</f>
        <v>-10484023.779061364</v>
      </c>
      <c r="I27" s="169">
        <f t="shared" ca="1" si="11"/>
        <v>-1312130347.8803082</v>
      </c>
      <c r="J27" s="145">
        <f ca="1">SUM(J18:J26)</f>
        <v>-1281103367.0071802</v>
      </c>
      <c r="K27" s="145">
        <f ca="1">'AMA ADIT'!S29</f>
        <v>-1302328182.1130505</v>
      </c>
      <c r="L27" s="6">
        <f ca="1">K27/J27</f>
        <v>1.0165676054348793</v>
      </c>
    </row>
    <row r="28" spans="1:13">
      <c r="B28" s="5">
        <f ca="1">'PT elect'!D45-B27</f>
        <v>0</v>
      </c>
      <c r="C28" s="5">
        <f ca="1">'PT elect'!E45-C27</f>
        <v>0</v>
      </c>
      <c r="D28" s="5">
        <f ca="1">'PT elect'!F45-D27</f>
        <v>0</v>
      </c>
      <c r="H28" s="184">
        <f ca="1">C14/12*4</f>
        <v>-10484023.77906136</v>
      </c>
      <c r="I28" s="154">
        <f ca="1">G27-H28</f>
        <v>-1312130347.8803079</v>
      </c>
      <c r="J28" s="154">
        <f ca="1"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 ca="1">'electric activity'!G33</f>
        <v>105551777.17352578</v>
      </c>
      <c r="C32" s="5">
        <f ca="1">'electric activity'!H33</f>
        <v>107135709.50446159</v>
      </c>
      <c r="D32" s="5">
        <f ca="1">'electric activity'!I33</f>
        <v>108766828.0769444</v>
      </c>
      <c r="G32" s="9">
        <f ca="1">'electric activity'!G46</f>
        <v>-2096565617.9162521</v>
      </c>
      <c r="H32" s="7">
        <f ca="1">C32/12*4</f>
        <v>35711903.16815386</v>
      </c>
      <c r="I32" s="9">
        <f ca="1">G32-H32</f>
        <v>-2132277521.0844059</v>
      </c>
      <c r="J32" s="112">
        <f ca="1">C32/12*8</f>
        <v>71423806.336307719</v>
      </c>
      <c r="K32" s="112">
        <f ca="1">D32/12*4</f>
        <v>36255609.358981468</v>
      </c>
      <c r="L32" s="9">
        <f ca="1">I32-J32-K32</f>
        <v>-2239956936.779695</v>
      </c>
      <c r="M32" s="112">
        <f t="shared" ref="M32:M40" ca="1" si="12">AVERAGE(I32,L32)</f>
        <v>-2186117228.9320507</v>
      </c>
    </row>
    <row r="33" spans="1:14">
      <c r="A33" s="6" t="s">
        <v>7</v>
      </c>
      <c r="B33" s="5">
        <f ca="1">'electric activity'!G34</f>
        <v>36041490.117844746</v>
      </c>
      <c r="C33" s="5">
        <f ca="1">'electric activity'!H34</f>
        <v>37959447.540957637</v>
      </c>
      <c r="D33" s="5">
        <f ca="1">'electric activity'!I34</f>
        <v>40076377.220564395</v>
      </c>
      <c r="G33" s="9">
        <f ca="1">'electric activity'!G47</f>
        <v>-554194789.61427975</v>
      </c>
      <c r="H33" s="7">
        <f t="shared" ref="H33:H40" ca="1" si="13">C33/12*4</f>
        <v>12653149.180319212</v>
      </c>
      <c r="I33" s="9">
        <f t="shared" ref="I33:I40" ca="1" si="14">G33-H33</f>
        <v>-566847938.79459894</v>
      </c>
      <c r="J33" s="112">
        <f t="shared" ref="J33:J40" ca="1" si="15">C33/12*8</f>
        <v>25306298.360638425</v>
      </c>
      <c r="K33" s="112">
        <f t="shared" ref="K33:K40" ca="1" si="16">D33/12*4</f>
        <v>13358792.406854799</v>
      </c>
      <c r="L33" s="9">
        <f t="shared" ref="L33:L40" ca="1" si="17">I33-J33-K33</f>
        <v>-605513029.56209207</v>
      </c>
      <c r="M33" s="112">
        <f t="shared" ca="1" si="12"/>
        <v>-586180484.17834544</v>
      </c>
    </row>
    <row r="34" spans="1:14">
      <c r="A34" s="6" t="s">
        <v>8</v>
      </c>
      <c r="B34" s="5">
        <f ca="1">'electric activity'!G35</f>
        <v>129225897.20406151</v>
      </c>
      <c r="C34" s="5">
        <f ca="1">'electric activity'!H35</f>
        <v>133670521.27768253</v>
      </c>
      <c r="D34" s="5">
        <f ca="1">'electric activity'!I35</f>
        <v>138415801.11943164</v>
      </c>
      <c r="G34" s="9">
        <f ca="1">'electric activity'!G48</f>
        <v>-1621848847.6979225</v>
      </c>
      <c r="H34" s="7">
        <f t="shared" ca="1" si="13"/>
        <v>44556840.425894178</v>
      </c>
      <c r="I34" s="9">
        <f t="shared" ca="1" si="14"/>
        <v>-1666405688.1238167</v>
      </c>
      <c r="J34" s="112">
        <f t="shared" ca="1" si="15"/>
        <v>89113680.851788357</v>
      </c>
      <c r="K34" s="112">
        <f t="shared" ca="1" si="16"/>
        <v>46138600.373143882</v>
      </c>
      <c r="L34" s="9">
        <f t="shared" ca="1" si="17"/>
        <v>-1801657969.3487489</v>
      </c>
      <c r="M34" s="112">
        <f t="shared" ca="1" si="12"/>
        <v>-1734031828.7362828</v>
      </c>
    </row>
    <row r="35" spans="1:14">
      <c r="A35" s="6" t="s">
        <v>16</v>
      </c>
      <c r="B35" s="5">
        <f ca="1">'electric activity'!G36</f>
        <v>59953818.099687271</v>
      </c>
      <c r="C35" s="5">
        <f ca="1">'electric activity'!H36</f>
        <v>69640816.916280463</v>
      </c>
      <c r="D35" s="5">
        <f ca="1">'electric activity'!I36</f>
        <v>82240442.345907271</v>
      </c>
      <c r="G35" s="9">
        <f ca="1">'electric activity'!G49</f>
        <v>-197881741.28710985</v>
      </c>
      <c r="H35" s="7">
        <f t="shared" ca="1" si="13"/>
        <v>23213605.638760153</v>
      </c>
      <c r="I35" s="9">
        <f t="shared" ca="1" si="14"/>
        <v>-221095346.92587</v>
      </c>
      <c r="J35" s="112">
        <f t="shared" ca="1" si="15"/>
        <v>46427211.277520306</v>
      </c>
      <c r="K35" s="112">
        <f t="shared" ca="1" si="16"/>
        <v>27413480.781969089</v>
      </c>
      <c r="L35" s="9">
        <f t="shared" ca="1" si="17"/>
        <v>-294936038.98535937</v>
      </c>
      <c r="M35" s="112">
        <f t="shared" ca="1" si="12"/>
        <v>-258015692.95561469</v>
      </c>
    </row>
    <row r="36" spans="1:14">
      <c r="A36" s="6" t="s">
        <v>17</v>
      </c>
      <c r="B36" s="5">
        <f ca="1">'electric activity'!G37</f>
        <v>34516810.134669505</v>
      </c>
      <c r="C36" s="5">
        <f ca="1">'electric activity'!H37</f>
        <v>36601589.714391731</v>
      </c>
      <c r="D36" s="5">
        <f ca="1">'electric activity'!I37</f>
        <v>38931034.190807268</v>
      </c>
      <c r="G36" s="9">
        <f ca="1">'electric activity'!G50</f>
        <v>-227283324.08936301</v>
      </c>
      <c r="H36" s="7">
        <f t="shared" ca="1" si="13"/>
        <v>12200529.904797243</v>
      </c>
      <c r="I36" s="9">
        <f t="shared" ca="1" si="14"/>
        <v>-239483853.99416026</v>
      </c>
      <c r="J36" s="112">
        <f t="shared" ca="1" si="15"/>
        <v>24401059.809594486</v>
      </c>
      <c r="K36" s="112">
        <f t="shared" ca="1" si="16"/>
        <v>12977011.396935755</v>
      </c>
      <c r="L36" s="9">
        <f t="shared" ca="1" si="17"/>
        <v>-276861925.20069051</v>
      </c>
      <c r="M36" s="112">
        <f t="shared" ca="1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 ca="1">SUM(B32:B40)</f>
        <v>445832865.00300443</v>
      </c>
      <c r="C41" s="124">
        <f t="shared" ref="C41:D41" ca="1" si="18">SUM(C32:C40)</f>
        <v>471136172.64145774</v>
      </c>
      <c r="D41" s="124">
        <f t="shared" ca="1" si="18"/>
        <v>503259439.66355729</v>
      </c>
      <c r="G41" s="9">
        <f ca="1">SUM(G32:G40)</f>
        <v>-4834500400.2204447</v>
      </c>
      <c r="H41" s="9">
        <f t="shared" ref="H41:L41" ca="1" si="19">SUM(H32:H40)</f>
        <v>157045390.88048595</v>
      </c>
      <c r="I41" s="169">
        <f t="shared" ca="1" si="19"/>
        <v>-4991545791.1009312</v>
      </c>
      <c r="J41" s="9">
        <f t="shared" ca="1" si="19"/>
        <v>314090781.7609719</v>
      </c>
      <c r="K41" s="9">
        <f t="shared" ca="1" si="19"/>
        <v>178054999.79118568</v>
      </c>
      <c r="L41" s="169">
        <f t="shared" ca="1" si="19"/>
        <v>-5483691572.6530876</v>
      </c>
      <c r="M41" s="174">
        <f ca="1">SUM(M32:M40)</f>
        <v>-5237618681.8770113</v>
      </c>
      <c r="N41" s="10"/>
    </row>
    <row r="42" spans="1:14">
      <c r="B42" s="5">
        <f ca="1">'electric activity'!G42-B41</f>
        <v>0</v>
      </c>
      <c r="C42" s="5">
        <f ca="1">'electric activity'!H42-C41</f>
        <v>0</v>
      </c>
      <c r="D42" s="5">
        <f ca="1">'electric activity'!I42-D41</f>
        <v>0</v>
      </c>
      <c r="H42" s="154">
        <f ca="1">C41/12*4</f>
        <v>157045390.88048592</v>
      </c>
      <c r="K42" s="169">
        <f ca="1"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 ca="1">'electric activity'!G8</f>
        <v>63856042.316046029</v>
      </c>
      <c r="C45" s="5">
        <f ca="1">'electric activity'!H8</f>
        <v>64814279.615866303</v>
      </c>
      <c r="D45" s="5">
        <f ca="1">'electric activity'!I8</f>
        <v>65786896.427624106</v>
      </c>
      <c r="G45" s="9">
        <f ca="1">SUM('electric activity'!D8,'electric activity'!G8)</f>
        <v>4319163303.9238539</v>
      </c>
      <c r="H45" s="7">
        <f ca="1">C45/12*4</f>
        <v>21604759.871955436</v>
      </c>
      <c r="I45" s="9">
        <f ca="1">SUM(G45:H45)</f>
        <v>4340768063.7958097</v>
      </c>
      <c r="J45" s="112">
        <f ca="1">C45/12*8</f>
        <v>43209519.743910871</v>
      </c>
      <c r="K45" s="112">
        <f ca="1">D45/12*4</f>
        <v>21928965.475874703</v>
      </c>
      <c r="L45" s="9">
        <f ca="1">SUM(I45:K45)</f>
        <v>4405906549.0155954</v>
      </c>
      <c r="M45" s="112">
        <f t="shared" ref="M45:M52" ca="1" si="20">AVERAGE(I45,L45)</f>
        <v>4373337306.4057026</v>
      </c>
    </row>
    <row r="46" spans="1:14">
      <c r="A46" s="6" t="s">
        <v>7</v>
      </c>
      <c r="B46" s="5">
        <f ca="1">'electric activity'!G9</f>
        <v>83251194.905268282</v>
      </c>
      <c r="C46" s="5">
        <f ca="1">'electric activity'!H9</f>
        <v>87681429.247119769</v>
      </c>
      <c r="D46" s="5">
        <f ca="1">'electric activity'!I9</f>
        <v>92347419.680473059</v>
      </c>
      <c r="G46" s="9">
        <f ca="1">SUM('electric activity'!D9,'electric activity'!G9)</f>
        <v>1647674410.1021514</v>
      </c>
      <c r="H46" s="7">
        <f t="shared" ref="H46:H52" ca="1" si="21">C46/12*4</f>
        <v>29227143.082373258</v>
      </c>
      <c r="I46" s="9">
        <f t="shared" ref="I46:I52" ca="1" si="22">SUM(G46:H46)</f>
        <v>1676901553.1845245</v>
      </c>
      <c r="J46" s="112">
        <f t="shared" ref="J46:J52" ca="1" si="23">C46/12*8</f>
        <v>58454286.164746515</v>
      </c>
      <c r="K46" s="112">
        <f t="shared" ref="K46:K52" ca="1" si="24">D46/12*4</f>
        <v>30782473.226824354</v>
      </c>
      <c r="L46" s="9">
        <f t="shared" ref="L46:L52" ca="1" si="25">SUM(I46:K46)</f>
        <v>1766138312.5760953</v>
      </c>
      <c r="M46" s="112">
        <f t="shared" ca="1" si="20"/>
        <v>1721519932.8803101</v>
      </c>
    </row>
    <row r="47" spans="1:14">
      <c r="A47" s="6" t="s">
        <v>8</v>
      </c>
      <c r="B47" s="5">
        <f ca="1">'electric activity'!G10</f>
        <v>137032794.17850628</v>
      </c>
      <c r="C47" s="5">
        <f ca="1">'electric activity'!H10</f>
        <v>141745930.39236885</v>
      </c>
      <c r="D47" s="5">
        <f ca="1">'electric activity'!I10</f>
        <v>146621171.25500247</v>
      </c>
      <c r="G47" s="9">
        <f ca="1">SUM('electric activity'!D10,'electric activity'!G10)</f>
        <v>4121213566.4502501</v>
      </c>
      <c r="H47" s="7">
        <f t="shared" ca="1" si="21"/>
        <v>47248643.464122951</v>
      </c>
      <c r="I47" s="9">
        <f t="shared" ca="1" si="22"/>
        <v>4168462209.9143729</v>
      </c>
      <c r="J47" s="112">
        <f t="shared" ca="1" si="23"/>
        <v>94497286.928245902</v>
      </c>
      <c r="K47" s="112">
        <f t="shared" ca="1" si="24"/>
        <v>48873723.751667492</v>
      </c>
      <c r="L47" s="9">
        <f t="shared" ca="1" si="25"/>
        <v>4311833220.594286</v>
      </c>
      <c r="M47" s="112">
        <f t="shared" ca="1" si="20"/>
        <v>4240147715.2543297</v>
      </c>
    </row>
    <row r="48" spans="1:14">
      <c r="A48" s="6" t="s">
        <v>16</v>
      </c>
      <c r="B48" s="5">
        <f ca="1">'electric activity'!G11</f>
        <v>54550914.901827984</v>
      </c>
      <c r="C48" s="5">
        <f ca="1">'electric activity'!H11</f>
        <v>63364943.179717429</v>
      </c>
      <c r="D48" s="5">
        <f ca="1">'electric activity'!I11</f>
        <v>73603092.292669728</v>
      </c>
      <c r="G48" s="9">
        <f ca="1">SUM('electric activity'!D11,'electric activity'!G11)</f>
        <v>392172059.60492247</v>
      </c>
      <c r="H48" s="7">
        <f t="shared" ca="1" si="21"/>
        <v>21121647.726572476</v>
      </c>
      <c r="I48" s="9">
        <f t="shared" ca="1" si="22"/>
        <v>413293707.33149493</v>
      </c>
      <c r="J48" s="112">
        <f t="shared" ca="1" si="23"/>
        <v>42243295.453144953</v>
      </c>
      <c r="K48" s="112">
        <f t="shared" ca="1" si="24"/>
        <v>24534364.097556576</v>
      </c>
      <c r="L48" s="9">
        <f t="shared" ca="1" si="25"/>
        <v>480071366.88219649</v>
      </c>
      <c r="M48" s="112">
        <f t="shared" ca="1" si="20"/>
        <v>446682537.10684574</v>
      </c>
    </row>
    <row r="49" spans="1:14">
      <c r="A49" s="6" t="s">
        <v>17</v>
      </c>
      <c r="B49" s="5">
        <f ca="1">'electric activity'!G12</f>
        <v>35696720.410958663</v>
      </c>
      <c r="C49" s="5">
        <f ca="1">'electric activity'!H12</f>
        <v>37852765.34922111</v>
      </c>
      <c r="D49" s="5">
        <f ca="1">'electric activity'!I12</f>
        <v>40139033.168529518</v>
      </c>
      <c r="G49" s="9">
        <f ca="1">SUM('electric activity'!D12,'electric activity'!G12)</f>
        <v>626712160.52746713</v>
      </c>
      <c r="H49" s="7">
        <f t="shared" ca="1" si="21"/>
        <v>12617588.449740371</v>
      </c>
      <c r="I49" s="9">
        <f t="shared" ca="1" si="22"/>
        <v>639329748.97720754</v>
      </c>
      <c r="J49" s="112">
        <f t="shared" ca="1" si="23"/>
        <v>25235176.899480741</v>
      </c>
      <c r="K49" s="112">
        <f t="shared" ca="1" si="24"/>
        <v>13379677.722843172</v>
      </c>
      <c r="L49" s="9">
        <f t="shared" ca="1" si="25"/>
        <v>677944603.59953141</v>
      </c>
      <c r="M49" s="112">
        <f t="shared" ca="1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 ca="1">SUM(B45:B52)</f>
        <v>461508645.19847077</v>
      </c>
      <c r="C53" s="124">
        <f t="shared" ref="C53:D53" ca="1" si="26">SUM(C45:C52)</f>
        <v>493721647.7921406</v>
      </c>
      <c r="D53" s="124">
        <f t="shared" ca="1" si="26"/>
        <v>500543746.21821266</v>
      </c>
      <c r="G53" s="9">
        <f ca="1">SUM(G45:G52)</f>
        <v>11360054472.762949</v>
      </c>
      <c r="H53" s="9">
        <f t="shared" ref="H53:L53" ca="1" si="27">SUM(H45:H52)</f>
        <v>164573882.59738019</v>
      </c>
      <c r="I53" s="169">
        <f t="shared" ca="1" si="27"/>
        <v>11524628355.360329</v>
      </c>
      <c r="J53" s="9">
        <f t="shared" ca="1" si="27"/>
        <v>329147765.19476038</v>
      </c>
      <c r="K53" s="9">
        <f t="shared" ca="1" si="27"/>
        <v>166847915.40607089</v>
      </c>
      <c r="L53" s="169">
        <f t="shared" ca="1" si="27"/>
        <v>12020624035.961161</v>
      </c>
      <c r="M53" s="174">
        <f ca="1">SUM(M45:M52)</f>
        <v>11772626195.660746</v>
      </c>
      <c r="N53" s="10"/>
    </row>
    <row r="54" spans="1:14">
      <c r="B54" s="5">
        <f ca="1">'electric activity'!G16-B53</f>
        <v>0</v>
      </c>
      <c r="C54" s="5">
        <f ca="1">'electric activity'!H16-C53</f>
        <v>0</v>
      </c>
      <c r="D54" s="5">
        <f ca="1">'electric activity'!I16-D53</f>
        <v>0</v>
      </c>
      <c r="K54" s="169">
        <f ca="1"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 ca="1">'Gas Consol'!I27</f>
        <v>-599036546.52836823</v>
      </c>
      <c r="F14" s="89"/>
      <c r="G14" s="90"/>
      <c r="H14" s="87"/>
      <c r="I14" s="91">
        <f ca="1">E14</f>
        <v>-599036546.52836823</v>
      </c>
      <c r="K14" s="58">
        <f>ROW()</f>
        <v>14</v>
      </c>
      <c r="L14" s="85"/>
      <c r="M14" s="86">
        <v>43951</v>
      </c>
      <c r="N14" s="87"/>
      <c r="O14" s="171">
        <f ca="1">'Electric Consol'!I27</f>
        <v>-1312130347.8803082</v>
      </c>
      <c r="P14" s="89"/>
      <c r="Q14" s="90"/>
      <c r="R14" s="87"/>
      <c r="S14" s="91">
        <f ca="1"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 ca="1">'Gas Consol'!G14/8</f>
        <v>-293932.72972680611</v>
      </c>
      <c r="E15" s="92">
        <f ca="1">+E14-D15</f>
        <v>-598742613.79864144</v>
      </c>
      <c r="F15" s="89">
        <f>G15-SUM(B$14:$B15)+1</f>
        <v>335</v>
      </c>
      <c r="G15" s="90">
        <f>B27</f>
        <v>365</v>
      </c>
      <c r="H15" s="87">
        <f ca="1">+F15/G15*D15</f>
        <v>-269773.87522871245</v>
      </c>
      <c r="I15" s="88">
        <f t="shared" ref="I15:I26" ca="1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 ca="1">'Electric Consol'!G14/8</f>
        <v>-2621005.944765341</v>
      </c>
      <c r="O15" s="92">
        <f ca="1">+O14-N15</f>
        <v>-1309509341.9355428</v>
      </c>
      <c r="P15" s="89">
        <v>335</v>
      </c>
      <c r="Q15" s="90">
        <f>L27</f>
        <v>365</v>
      </c>
      <c r="R15" s="87">
        <f ca="1">+P15/Q15*N15</f>
        <v>-2405580.7986202445</v>
      </c>
      <c r="S15" s="88">
        <f t="shared" ref="S15:S26" ca="1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 ca="1">D15</f>
        <v>-293932.72972680611</v>
      </c>
      <c r="E16" s="92">
        <f t="shared" ref="E16:E26" ca="1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ca="1" si="3">+F16/G16*D16</f>
        <v>-245615.02073061879</v>
      </c>
      <c r="I16" s="88">
        <f t="shared" ca="1" si="0"/>
        <v>-598521157.63240886</v>
      </c>
      <c r="K16" s="58">
        <f>ROW()</f>
        <v>16</v>
      </c>
      <c r="L16" s="85">
        <v>30</v>
      </c>
      <c r="M16" s="86">
        <v>44012</v>
      </c>
      <c r="N16" s="87">
        <f ca="1">N15</f>
        <v>-2621005.944765341</v>
      </c>
      <c r="O16" s="92">
        <f t="shared" ref="O16:O26" ca="1" si="4">+O15-N16</f>
        <v>-1306888335.9907775</v>
      </c>
      <c r="P16" s="89">
        <v>305</v>
      </c>
      <c r="Q16" s="90">
        <f>Q15</f>
        <v>365</v>
      </c>
      <c r="R16" s="87">
        <f t="shared" ref="R16:R26" ca="1" si="5">+P16/Q16*N16</f>
        <v>-2190155.652475148</v>
      </c>
      <c r="S16" s="88">
        <f t="shared" ca="1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ca="1" si="6">D16</f>
        <v>-293932.72972680611</v>
      </c>
      <c r="E17" s="92">
        <f t="shared" ca="1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ca="1" si="3"/>
        <v>-220650.87108258871</v>
      </c>
      <c r="I17" s="88">
        <f t="shared" ca="1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ca="1" si="8">N16</f>
        <v>-2621005.944765341</v>
      </c>
      <c r="O17" s="92">
        <f t="shared" ca="1" si="4"/>
        <v>-1304267330.0460122</v>
      </c>
      <c r="P17" s="89">
        <v>274</v>
      </c>
      <c r="Q17" s="90">
        <f t="shared" ref="Q17:Q26" si="9">Q16</f>
        <v>365</v>
      </c>
      <c r="R17" s="87">
        <f t="shared" ca="1" si="5"/>
        <v>-1967549.668125215</v>
      </c>
      <c r="S17" s="88">
        <f t="shared" ca="1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ca="1" si="6"/>
        <v>-293932.72972680611</v>
      </c>
      <c r="E18" s="92">
        <f t="shared" ca="1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ca="1" si="3"/>
        <v>-195686.7214345586</v>
      </c>
      <c r="I18" s="88">
        <f t="shared" ca="1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ca="1" si="8"/>
        <v>-2621005.944765341</v>
      </c>
      <c r="O18" s="92">
        <f t="shared" ca="1" si="4"/>
        <v>-1301646324.1012468</v>
      </c>
      <c r="P18" s="89">
        <v>243</v>
      </c>
      <c r="Q18" s="90">
        <f t="shared" si="9"/>
        <v>365</v>
      </c>
      <c r="R18" s="87">
        <f t="shared" ca="1" si="5"/>
        <v>-1744943.683775282</v>
      </c>
      <c r="S18" s="88">
        <f t="shared" ca="1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ca="1" si="6"/>
        <v>-293932.72972680611</v>
      </c>
      <c r="E19" s="92">
        <f t="shared" ca="1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ca="1" si="3"/>
        <v>-171527.86693646494</v>
      </c>
      <c r="I19" s="88">
        <f t="shared" ca="1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ca="1" si="8"/>
        <v>-2621005.944765341</v>
      </c>
      <c r="O19" s="92">
        <f t="shared" ca="1" si="4"/>
        <v>-1299025318.1564815</v>
      </c>
      <c r="P19" s="89">
        <v>213</v>
      </c>
      <c r="Q19" s="90">
        <f t="shared" si="9"/>
        <v>365</v>
      </c>
      <c r="R19" s="87">
        <f t="shared" ca="1" si="5"/>
        <v>-1529518.5376301855</v>
      </c>
      <c r="S19" s="88">
        <f t="shared" ca="1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ca="1" si="6"/>
        <v>-293932.72972680611</v>
      </c>
      <c r="E20" s="92">
        <f t="shared" ca="1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ca="1" si="3"/>
        <v>-146563.71728843483</v>
      </c>
      <c r="I20" s="88">
        <f t="shared" ca="1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ca="1" si="8"/>
        <v>-2621005.944765341</v>
      </c>
      <c r="O20" s="92">
        <f t="shared" ca="1" si="4"/>
        <v>-1296404312.2117162</v>
      </c>
      <c r="P20" s="89">
        <v>182</v>
      </c>
      <c r="Q20" s="90">
        <f t="shared" si="9"/>
        <v>365</v>
      </c>
      <c r="R20" s="87">
        <f t="shared" ca="1" si="5"/>
        <v>-1306912.5532802523</v>
      </c>
      <c r="S20" s="88">
        <f t="shared" ca="1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ca="1" si="6"/>
        <v>-293932.72972680611</v>
      </c>
      <c r="E21" s="92">
        <f t="shared" ca="1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ca="1" si="3"/>
        <v>-122404.86279034118</v>
      </c>
      <c r="I21" s="88">
        <f t="shared" ca="1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ca="1" si="8"/>
        <v>-2621005.944765341</v>
      </c>
      <c r="O21" s="92">
        <f t="shared" ca="1" si="4"/>
        <v>-1293783306.2669508</v>
      </c>
      <c r="P21" s="89">
        <v>152</v>
      </c>
      <c r="Q21" s="90">
        <f t="shared" si="9"/>
        <v>365</v>
      </c>
      <c r="R21" s="87">
        <f t="shared" ca="1" si="5"/>
        <v>-1091487.4071351558</v>
      </c>
      <c r="S21" s="88">
        <f t="shared" ca="1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ca="1" si="6"/>
        <v>-293932.72972680611</v>
      </c>
      <c r="E22" s="92">
        <f t="shared" ca="1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ca="1" si="3"/>
        <v>-97440.71314231107</v>
      </c>
      <c r="I22" s="88">
        <f t="shared" ca="1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ca="1" si="8"/>
        <v>-2621005.944765341</v>
      </c>
      <c r="O22" s="92">
        <f t="shared" ca="1" si="4"/>
        <v>-1291162300.3221855</v>
      </c>
      <c r="P22" s="89">
        <v>121</v>
      </c>
      <c r="Q22" s="90">
        <f t="shared" si="9"/>
        <v>365</v>
      </c>
      <c r="R22" s="87">
        <f t="shared" ca="1" si="5"/>
        <v>-868881.42278522265</v>
      </c>
      <c r="S22" s="88">
        <f t="shared" ca="1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 ca="1">'Gas Consol'!H14/4</f>
        <v>-551236.90853486641</v>
      </c>
      <c r="E23" s="92">
        <f t="shared" ca="1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ca="1" si="3"/>
        <v>-135921.42950174789</v>
      </c>
      <c r="I23" s="88">
        <f t="shared" ca="1" si="0"/>
        <v>-597430961.45023239</v>
      </c>
      <c r="K23" s="58">
        <f>ROW()</f>
        <v>23</v>
      </c>
      <c r="L23" s="85">
        <v>31</v>
      </c>
      <c r="M23" s="86">
        <v>44227</v>
      </c>
      <c r="N23" s="156">
        <f ca="1">'Electric Consol'!H14/4</f>
        <v>-2514733.3287512641</v>
      </c>
      <c r="O23" s="92">
        <f t="shared" ca="1" si="4"/>
        <v>-1288647566.9934342</v>
      </c>
      <c r="P23" s="89">
        <v>90</v>
      </c>
      <c r="Q23" s="90">
        <f t="shared" si="9"/>
        <v>365</v>
      </c>
      <c r="R23" s="87">
        <f t="shared" ca="1" si="5"/>
        <v>-620071.23174688697</v>
      </c>
      <c r="S23" s="88">
        <f t="shared" ca="1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ca="1" si="6"/>
        <v>-551236.90853486641</v>
      </c>
      <c r="E24" s="92">
        <f t="shared" ca="1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ca="1" si="3"/>
        <v>-93634.76254564854</v>
      </c>
      <c r="I24" s="88">
        <f t="shared" ca="1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ca="1" si="8"/>
        <v>-2514733.3287512641</v>
      </c>
      <c r="O24" s="92">
        <f t="shared" ca="1" si="4"/>
        <v>-1286132833.6646829</v>
      </c>
      <c r="P24" s="89">
        <v>62</v>
      </c>
      <c r="Q24" s="90">
        <f t="shared" si="9"/>
        <v>365</v>
      </c>
      <c r="R24" s="87">
        <f t="shared" ca="1" si="5"/>
        <v>-427160.18187007774</v>
      </c>
      <c r="S24" s="88">
        <f t="shared" ca="1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ca="1" si="6"/>
        <v>-551236.90853486641</v>
      </c>
      <c r="E25" s="92">
        <f t="shared" ca="1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ca="1" si="3"/>
        <v>-46817.38127282427</v>
      </c>
      <c r="I25" s="88">
        <f t="shared" ca="1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ca="1" si="8"/>
        <v>-2514733.3287512641</v>
      </c>
      <c r="O25" s="92">
        <f t="shared" ca="1" si="4"/>
        <v>-1283618100.3359315</v>
      </c>
      <c r="P25" s="89">
        <v>31</v>
      </c>
      <c r="Q25" s="90">
        <f t="shared" si="9"/>
        <v>365</v>
      </c>
      <c r="R25" s="87">
        <f t="shared" ca="1" si="5"/>
        <v>-213580.09093503887</v>
      </c>
      <c r="S25" s="88">
        <f t="shared" ca="1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ca="1" si="6"/>
        <v>-551236.90853486641</v>
      </c>
      <c r="E26" s="170">
        <f t="shared" ca="1" si="2"/>
        <v>-594480137.05641437</v>
      </c>
      <c r="F26" s="89">
        <f>G26-SUM(B$14:$B26)+1</f>
        <v>1</v>
      </c>
      <c r="G26" s="90">
        <f t="shared" si="7"/>
        <v>365</v>
      </c>
      <c r="H26" s="87">
        <f t="shared" ca="1" si="3"/>
        <v>-1510.2381055749765</v>
      </c>
      <c r="I26" s="88">
        <f t="shared" ca="1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ca="1" si="8"/>
        <v>-2514733.3287512641</v>
      </c>
      <c r="O26" s="170">
        <f t="shared" ca="1" si="4"/>
        <v>-1281103367.0071802</v>
      </c>
      <c r="P26" s="89">
        <v>1</v>
      </c>
      <c r="Q26" s="90">
        <f t="shared" si="9"/>
        <v>365</v>
      </c>
      <c r="R26" s="87">
        <f t="shared" ca="1" si="5"/>
        <v>-6889.6803527431894</v>
      </c>
      <c r="S26" s="88">
        <f t="shared" ca="1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 ca="1">SUM(D15:D26)</f>
        <v>-4556409.4719539145</v>
      </c>
      <c r="E27" s="95"/>
      <c r="F27" s="61"/>
      <c r="G27" s="96"/>
      <c r="H27" s="94">
        <f ca="1"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 ca="1">SUM(N15:N26)</f>
        <v>-31026980.873127788</v>
      </c>
      <c r="O27" s="95"/>
      <c r="P27" s="61"/>
      <c r="Q27" s="96"/>
      <c r="R27" s="94">
        <f ca="1"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 ca="1">(E14+E26+SUM(E15:E25)*2)/24</f>
        <v>-597101414.03080213</v>
      </c>
      <c r="F29" s="61"/>
      <c r="G29" s="62"/>
      <c r="H29" s="62"/>
      <c r="I29" s="157">
        <f ca="1"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 ca="1">(O14+O26+SUM(O15:O25)*2)/24</f>
        <v>-1296475160.6223922</v>
      </c>
      <c r="P29" s="61"/>
      <c r="Q29" s="62"/>
      <c r="R29" s="62"/>
      <c r="S29" s="157">
        <f ca="1"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 ca="1">'[3]RJA-3_Electric_Attrition'!$M$12-SUM('[3]RJA-3_Electric_Attrition'!$M$23:$M$35)</f>
        <v>353177944.41632187</v>
      </c>
      <c r="F7" s="186"/>
      <c r="G7" s="186">
        <v>116358047</v>
      </c>
      <c r="H7" s="186">
        <f ca="1">'[3]RJA-4_Gas_Attrition'!$M$11-SUM('[3]RJA-4_Gas_Attrition'!$M$22:$M$33)</f>
        <v>91933917.082931578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 ca="1">-E24</f>
        <v>-158761920.16283298</v>
      </c>
      <c r="G8" s="28">
        <f ca="1">-G24</f>
        <v>-56000936.485026583</v>
      </c>
      <c r="H8" s="28">
        <f ca="1"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 ca="1">SUM(E7:E8)</f>
        <v>194416024.2534889</v>
      </c>
      <c r="G9" s="35">
        <f ca="1">SUM(G7:G8)</f>
        <v>60357110.514973417</v>
      </c>
      <c r="H9" s="35">
        <f ca="1">SUM(H7:H8)</f>
        <v>26121856.379213192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 ca="1">+E7*0.21</f>
        <v>74167368.327427596</v>
      </c>
      <c r="F11" s="3"/>
      <c r="G11" s="28">
        <f>+G7*0.21</f>
        <v>24435189.869999997</v>
      </c>
      <c r="H11" s="28">
        <f ca="1">+H7*0.21</f>
        <v>19306122.587415632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 ca="1">E26</f>
        <v>-33340003.234194923</v>
      </c>
      <c r="F13" s="6"/>
      <c r="G13" s="112">
        <f ca="1">G26</f>
        <v>-11760196.661855582</v>
      </c>
      <c r="H13" s="112">
        <f ca="1"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ca="1" si="1"/>
        <v>21922839.986782935</v>
      </c>
      <c r="G15" s="49">
        <f ca="1">SUM(G11:G14)</f>
        <v>6218058.7475580722</v>
      </c>
      <c r="H15" s="49">
        <f ca="1">SUM(H11:H14)</f>
        <v>-9397.580507280305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 ca="1">E15/E9</f>
        <v>0.11276251569777442</v>
      </c>
      <c r="G16" s="164">
        <f ca="1">G15/G9</f>
        <v>0.10302114687904905</v>
      </c>
      <c r="H16" s="164">
        <f ca="1">H15/H9</f>
        <v>-3.5975929010767217E-4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 ca="1">SUM('[3]RJA-3_Electric_Attrition'!$M$36:$M$37)</f>
        <v>21922839.986782931</v>
      </c>
      <c r="G18" s="28">
        <v>6218059.5742254965</v>
      </c>
      <c r="H18" s="28">
        <f ca="1">SUM('[3]RJA-4_Gas_Attrition'!$M$34:$M$35)</f>
        <v>-9397.5805072821677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 ca="1">+E15-E18</f>
        <v>0</v>
      </c>
      <c r="F19" s="165"/>
      <c r="G19" s="149">
        <f ca="1">+G15-G18</f>
        <v>-0.8266674242913723</v>
      </c>
      <c r="H19" s="149">
        <f ca="1"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 ca="1">'[3]RJA-3_Electric_Attrition'!$M$42</f>
        <v>5531774221.7014971</v>
      </c>
      <c r="G22" s="28">
        <f ca="1">'[3]RJA-4_Gas_Attrition'!$C$51</f>
        <v>1951252142.3354211</v>
      </c>
      <c r="H22" s="28">
        <f ca="1"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 ca="1">E22*E23</f>
        <v>158761920.16283298</v>
      </c>
      <c r="G24" s="28">
        <f ca="1">G22*G23</f>
        <v>56000936.485026583</v>
      </c>
      <c r="H24" s="28">
        <f ca="1"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 ca="1">-E24*E25</f>
        <v>-33340003.234194923</v>
      </c>
      <c r="G26" s="49">
        <f ca="1">-G24*G25</f>
        <v>-11760196.661855582</v>
      </c>
      <c r="H26" s="49">
        <f ca="1"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abSelected="1"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 ca="1">'gas activity'!G71</f>
        <v>2995.7563282163765</v>
      </c>
      <c r="C5" s="127">
        <f ca="1">'gas activity'!H71</f>
        <v>12714.514415498177</v>
      </c>
      <c r="D5" s="127">
        <f ca="1">'gas activity'!I71</f>
        <v>21461.998748351714</v>
      </c>
      <c r="E5" s="127">
        <f t="shared" ref="E5:E13" ca="1" si="0">SUM(B5:D5)</f>
        <v>37172.269492066269</v>
      </c>
      <c r="G5" s="112">
        <f ca="1">C5/12*8</f>
        <v>8476.3429436654515</v>
      </c>
      <c r="H5" s="112">
        <f ca="1">D5/12*4</f>
        <v>7153.9995827839048</v>
      </c>
      <c r="I5" s="7">
        <f ca="1"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 ca="1">'gas activity'!G73+'PT gas'!D23</f>
        <v>-2723336.9361653775</v>
      </c>
      <c r="C7" s="127">
        <f ca="1">'gas activity'!H73+'PT gas'!E23</f>
        <v>-2615203.3126623817</v>
      </c>
      <c r="D7" s="127">
        <f ca="1">'gas activity'!I73+'PT gas'!F23</f>
        <v>-3846130.5973224277</v>
      </c>
      <c r="E7" s="127">
        <f t="shared" ca="1" si="0"/>
        <v>-9184670.8461501859</v>
      </c>
      <c r="G7" s="112">
        <f t="shared" ca="1" si="1"/>
        <v>-1743468.8751082544</v>
      </c>
      <c r="H7" s="112">
        <f t="shared" ca="1" si="2"/>
        <v>-1282043.5324408093</v>
      </c>
      <c r="I7" s="7">
        <f t="shared" ca="1" si="3"/>
        <v>-3025512.4075490637</v>
      </c>
    </row>
    <row r="8" spans="1:10">
      <c r="A8" s="6" t="s">
        <v>16</v>
      </c>
      <c r="B8" s="127">
        <f ca="1">'gas activity'!G74+'PT gas'!D24</f>
        <v>-40625.820961246704</v>
      </c>
      <c r="C8" s="127">
        <f ca="1">'gas activity'!H74+'PT gas'!E24</f>
        <v>-125835.14593841508</v>
      </c>
      <c r="D8" s="127">
        <f ca="1">'gas activity'!I74+'PT gas'!F24</f>
        <v>342860.04145390308</v>
      </c>
      <c r="E8" s="127">
        <f t="shared" ca="1" si="0"/>
        <v>176399.07455424129</v>
      </c>
      <c r="G8" s="112">
        <f t="shared" ca="1" si="1"/>
        <v>-83890.097292276725</v>
      </c>
      <c r="H8" s="112">
        <f t="shared" ca="1" si="2"/>
        <v>114286.68048463436</v>
      </c>
      <c r="I8" s="7">
        <f t="shared" ca="1" si="3"/>
        <v>30396.583192357633</v>
      </c>
    </row>
    <row r="9" spans="1:10">
      <c r="A9" s="6" t="s">
        <v>17</v>
      </c>
      <c r="B9" s="127">
        <f ca="1">'gas activity'!G75+'PT gas'!D25</f>
        <v>-210109.39525431168</v>
      </c>
      <c r="C9" s="127">
        <f ca="1">'gas activity'!H75+'PT gas'!E25</f>
        <v>-1718417.3611609465</v>
      </c>
      <c r="D9" s="127">
        <f ca="1">'gas activity'!I75+'PT gas'!F25</f>
        <v>-5316805.2427109163</v>
      </c>
      <c r="E9" s="127">
        <f t="shared" ca="1" si="0"/>
        <v>-7245331.9991261745</v>
      </c>
      <c r="G9" s="112">
        <f t="shared" ca="1" si="1"/>
        <v>-1145611.5741072977</v>
      </c>
      <c r="H9" s="112">
        <f t="shared" ca="1" si="2"/>
        <v>-1772268.4142369721</v>
      </c>
      <c r="I9" s="7">
        <f t="shared" ca="1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 ca="1">SUM(B5:B13)</f>
        <v>-4162796.0256587258</v>
      </c>
      <c r="C14" s="124">
        <f t="shared" ref="C14:D14" ca="1" si="4">SUM(C5:C13)</f>
        <v>-3527192.7567216731</v>
      </c>
      <c r="D14" s="124">
        <f t="shared" ca="1" si="4"/>
        <v>-6614842.9024183955</v>
      </c>
      <c r="E14" s="124">
        <f ca="1">SUM(E5:E13)</f>
        <v>-14304831.684798798</v>
      </c>
      <c r="G14" s="7">
        <f ca="1">SUM(G5:G13)</f>
        <v>-2351461.8378144489</v>
      </c>
      <c r="H14" s="7">
        <f t="shared" ref="H14:I14" ca="1" si="5">SUM(H5:H13)</f>
        <v>-2204947.6341394656</v>
      </c>
      <c r="I14" s="152">
        <f t="shared" ca="1" si="5"/>
        <v>-4556409.4719539154</v>
      </c>
    </row>
    <row r="15" spans="1:10">
      <c r="A15" s="8"/>
      <c r="B15" s="22">
        <f ca="1">'PT gas'!D31-B14</f>
        <v>0</v>
      </c>
      <c r="C15" s="22">
        <f ca="1">'PT gas'!E31-C14</f>
        <v>0</v>
      </c>
      <c r="D15" s="22">
        <f ca="1">'PT gas'!F31-D14</f>
        <v>0</v>
      </c>
      <c r="E15" s="22"/>
      <c r="G15" s="154">
        <f ca="1">C14/12*8</f>
        <v>-2351461.8378144489</v>
      </c>
      <c r="H15" s="154">
        <f ca="1">D14/12*4</f>
        <v>-2204947.6341394652</v>
      </c>
      <c r="I15" s="154">
        <f ca="1"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'gas activity'!G83</f>
        <v>-2995.7563282163765</v>
      </c>
      <c r="C18" s="5">
        <f ca="1">'gas activity'!H83</f>
        <v>-15710.270743714555</v>
      </c>
      <c r="D18" s="5">
        <f ca="1">'gas activity'!I83</f>
        <v>-37172.269492066269</v>
      </c>
      <c r="E18" s="130"/>
      <c r="G18" s="9">
        <f ca="1">B18</f>
        <v>-2995.7563282163765</v>
      </c>
      <c r="H18" s="7">
        <f t="shared" ref="H18:H26" ca="1" si="6">C5-G5</f>
        <v>4238.1714718327257</v>
      </c>
      <c r="I18" s="9">
        <f ca="1">G18-H18</f>
        <v>-7233.9278000491022</v>
      </c>
      <c r="J18" s="9">
        <f t="shared" ref="J18:J26" ca="1" si="7">I18-I5</f>
        <v>-22864.270326498459</v>
      </c>
      <c r="K18" s="112">
        <f t="shared" ref="K18:K26" ca="1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ca="1" si="8"/>
        <v>0</v>
      </c>
    </row>
    <row r="20" spans="1:13">
      <c r="A20" s="6" t="s">
        <v>8</v>
      </c>
      <c r="B20" s="5">
        <f ca="1">'gas activity'!G85+'PT gas'!D35</f>
        <v>-521377624.02383465</v>
      </c>
      <c r="C20" s="5">
        <f ca="1">'gas activity'!H85+'PT gas'!E35</f>
        <v>-518762420.71117222</v>
      </c>
      <c r="D20" s="5">
        <f ca="1">'gas activity'!I85+'PT gas'!F35</f>
        <v>-514916290.11384982</v>
      </c>
      <c r="E20" s="130"/>
      <c r="G20" s="9">
        <f t="shared" ca="1" si="9"/>
        <v>-521377624.02383465</v>
      </c>
      <c r="H20" s="7">
        <f t="shared" ca="1" si="6"/>
        <v>-871734.4375541273</v>
      </c>
      <c r="I20" s="9">
        <f t="shared" ca="1" si="10"/>
        <v>-520505889.58628052</v>
      </c>
      <c r="J20" s="9">
        <f t="shared" ca="1" si="7"/>
        <v>-517480377.17873144</v>
      </c>
      <c r="K20" s="112">
        <f t="shared" ca="1" si="8"/>
        <v>-520462075.54805189</v>
      </c>
    </row>
    <row r="21" spans="1:13">
      <c r="A21" s="6" t="s">
        <v>16</v>
      </c>
      <c r="B21" s="5">
        <f ca="1">'gas activity'!G86+'PT gas'!D36</f>
        <v>-2138682.7690387531</v>
      </c>
      <c r="C21" s="5">
        <f ca="1">'gas activity'!H86+'PT gas'!E36</f>
        <v>-2012847.623100338</v>
      </c>
      <c r="D21" s="5">
        <f ca="1">'gas activity'!I86+'PT gas'!F36</f>
        <v>-2355707.6645542411</v>
      </c>
      <c r="E21" s="130"/>
      <c r="G21" s="9">
        <f t="shared" ca="1" si="9"/>
        <v>-2138682.7690387531</v>
      </c>
      <c r="H21" s="7">
        <f t="shared" ca="1" si="6"/>
        <v>-41945.048646138355</v>
      </c>
      <c r="I21" s="9">
        <f t="shared" ca="1" si="10"/>
        <v>-2096737.7203926148</v>
      </c>
      <c r="J21" s="9">
        <f t="shared" ca="1" si="7"/>
        <v>-2127134.3035849724</v>
      </c>
      <c r="K21" s="112">
        <f t="shared" ca="1" si="8"/>
        <v>-2139390.7545810542</v>
      </c>
    </row>
    <row r="22" spans="1:13">
      <c r="A22" s="6" t="s">
        <v>17</v>
      </c>
      <c r="B22" s="5">
        <f ca="1">'gas activity'!G87+'PT gas'!D37</f>
        <v>-77529295.627679691</v>
      </c>
      <c r="C22" s="5">
        <f ca="1">'gas activity'!H87+'PT gas'!E37</f>
        <v>-75810878.266518742</v>
      </c>
      <c r="D22" s="5">
        <f ca="1">'gas activity'!I87+'PT gas'!F37</f>
        <v>-70494073.023807824</v>
      </c>
      <c r="E22" s="130"/>
      <c r="G22" s="9">
        <f t="shared" ca="1" si="9"/>
        <v>-77529295.627679691</v>
      </c>
      <c r="H22" s="7">
        <f t="shared" ca="1" si="6"/>
        <v>-572805.78705364885</v>
      </c>
      <c r="I22" s="9">
        <f t="shared" ca="1" si="10"/>
        <v>-76956489.840626046</v>
      </c>
      <c r="J22" s="9">
        <f t="shared" ca="1" si="7"/>
        <v>-74038609.852281779</v>
      </c>
      <c r="K22" s="112">
        <f t="shared" ca="1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ca="1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ca="1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ca="1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ca="1" si="8"/>
        <v>804698.43363428826</v>
      </c>
    </row>
    <row r="27" spans="1:13">
      <c r="A27" s="129" t="s">
        <v>1</v>
      </c>
      <c r="B27" s="124">
        <f ca="1">SUM(B18:B26)</f>
        <v>-600212277.44727528</v>
      </c>
      <c r="C27" s="124">
        <f ca="1">SUM(C18:C26)</f>
        <v>-596685084.69055367</v>
      </c>
      <c r="D27" s="124">
        <f ca="1">SUM(D18:D26)</f>
        <v>-590070241.78813505</v>
      </c>
      <c r="E27" s="130"/>
      <c r="G27" s="9">
        <f ca="1">SUM(G18:G26)</f>
        <v>-600212277.44727528</v>
      </c>
      <c r="H27" s="9">
        <f t="shared" ref="H27:I27" ca="1" si="12">SUM(H18:H26)</f>
        <v>-1175730.9189072247</v>
      </c>
      <c r="I27" s="169">
        <f t="shared" ca="1" si="12"/>
        <v>-599036546.52836823</v>
      </c>
      <c r="J27" s="145">
        <f ca="1">SUM(J18:J26)</f>
        <v>-594480137.05641413</v>
      </c>
      <c r="K27" s="174">
        <f ca="1">'AMA ADIT'!I29</f>
        <v>-597905504.53588915</v>
      </c>
      <c r="L27" s="6">
        <f ca="1">K27/J27</f>
        <v>1.005761954464006</v>
      </c>
    </row>
    <row r="28" spans="1:13">
      <c r="B28" s="9">
        <f ca="1">'PT gas'!D43-B27</f>
        <v>0</v>
      </c>
      <c r="C28" s="9">
        <f ca="1">'PT gas'!E43-C27</f>
        <v>0</v>
      </c>
      <c r="D28" s="9">
        <f ca="1">'PT gas'!F43-D27</f>
        <v>0</v>
      </c>
      <c r="H28" s="154">
        <f ca="1">C14/12*4</f>
        <v>-1175730.9189072244</v>
      </c>
      <c r="I28" s="154">
        <f ca="1">G27-H28</f>
        <v>-599036546.52836812</v>
      </c>
      <c r="J28" s="154">
        <f ca="1"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 ca="1">'gas activity'!G34</f>
        <v>1536255.7932289185</v>
      </c>
      <c r="C32" s="5">
        <f ca="1">'gas activity'!H34</f>
        <v>1556660.4808682038</v>
      </c>
      <c r="D32" s="5">
        <f ca="1">'gas activity'!I34</f>
        <v>1577603.649814581</v>
      </c>
      <c r="E32" s="5"/>
      <c r="G32" s="9">
        <f ca="1">'gas activity'!G47</f>
        <v>-35413388.066458687</v>
      </c>
      <c r="H32" s="7">
        <f ca="1">C32/12*4</f>
        <v>518886.82695606793</v>
      </c>
      <c r="I32" s="9">
        <f ca="1">G32-H32</f>
        <v>-35932274.893414758</v>
      </c>
      <c r="J32" s="112">
        <f ca="1">C32/12*8</f>
        <v>1037773.6539121359</v>
      </c>
      <c r="K32" s="112">
        <f ca="1">D32/12*4</f>
        <v>525867.88327152701</v>
      </c>
      <c r="L32" s="9">
        <f ca="1">I32-J32-K32</f>
        <v>-37495916.430598423</v>
      </c>
      <c r="M32" s="112">
        <f ca="1"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 ca="1">'gas activity'!G36</f>
        <v>105152662.67084308</v>
      </c>
      <c r="C34" s="5">
        <f ca="1">'gas activity'!H36</f>
        <v>110638063.4973177</v>
      </c>
      <c r="D34" s="5">
        <f ca="1">'gas activity'!I36</f>
        <v>116681580.57913655</v>
      </c>
      <c r="E34" s="5"/>
      <c r="G34" s="9">
        <f ca="1">'gas activity'!G49</f>
        <v>-1572049415.9216294</v>
      </c>
      <c r="H34" s="7">
        <f t="shared" ca="1" si="13"/>
        <v>36879354.499105901</v>
      </c>
      <c r="I34" s="9">
        <f t="shared" ca="1" si="14"/>
        <v>-1608928770.4207354</v>
      </c>
      <c r="J34" s="112">
        <f t="shared" ca="1" si="15"/>
        <v>73758708.998211801</v>
      </c>
      <c r="K34" s="112">
        <f t="shared" ca="1" si="16"/>
        <v>38893860.193045519</v>
      </c>
      <c r="L34" s="9">
        <f t="shared" ca="1" si="17"/>
        <v>-1721581339.6119928</v>
      </c>
      <c r="M34" s="112">
        <f t="shared" ca="1" si="18"/>
        <v>-1665255055.0163641</v>
      </c>
    </row>
    <row r="35" spans="1:15">
      <c r="A35" s="6" t="s">
        <v>16</v>
      </c>
      <c r="B35" s="5">
        <f ca="1">'gas activity'!G37</f>
        <v>24906187.501862202</v>
      </c>
      <c r="C35" s="5">
        <f ca="1">'gas activity'!H37</f>
        <v>28668466.762839511</v>
      </c>
      <c r="D35" s="5">
        <f ca="1">'gas activity'!I37</f>
        <v>33492807.642053932</v>
      </c>
      <c r="E35" s="5"/>
      <c r="G35" s="9">
        <f ca="1">'gas activity'!G50</f>
        <v>-74977232.22016196</v>
      </c>
      <c r="H35" s="7">
        <f t="shared" ca="1" si="13"/>
        <v>9556155.587613171</v>
      </c>
      <c r="I35" s="9">
        <f t="shared" ca="1" si="14"/>
        <v>-84533387.807775125</v>
      </c>
      <c r="J35" s="112">
        <f t="shared" ca="1" si="15"/>
        <v>19112311.175226342</v>
      </c>
      <c r="K35" s="112">
        <f t="shared" ca="1" si="16"/>
        <v>11164269.214017978</v>
      </c>
      <c r="L35" s="9">
        <f t="shared" ca="1" si="17"/>
        <v>-114809968.19701944</v>
      </c>
      <c r="M35" s="112">
        <f t="shared" ca="1" si="18"/>
        <v>-99671678.002397284</v>
      </c>
    </row>
    <row r="36" spans="1:15">
      <c r="A36" s="6" t="s">
        <v>17</v>
      </c>
      <c r="B36" s="5">
        <f ca="1">'gas activity'!G38</f>
        <v>11789835.47424452</v>
      </c>
      <c r="C36" s="5">
        <f ca="1">'gas activity'!H38</f>
        <v>12132106.165545441</v>
      </c>
      <c r="D36" s="5">
        <f ca="1">'gas activity'!I38</f>
        <v>12493969.449259028</v>
      </c>
      <c r="E36" s="5"/>
      <c r="G36" s="9">
        <f ca="1">'gas activity'!G51</f>
        <v>-75412076.46867086</v>
      </c>
      <c r="H36" s="7">
        <f t="shared" ca="1" si="13"/>
        <v>4044035.3885151469</v>
      </c>
      <c r="I36" s="9">
        <f t="shared" ca="1" si="14"/>
        <v>-79456111.857186005</v>
      </c>
      <c r="J36" s="112">
        <f t="shared" ca="1" si="15"/>
        <v>8088070.7770302938</v>
      </c>
      <c r="K36" s="112">
        <f t="shared" ca="1" si="16"/>
        <v>4164656.4830863425</v>
      </c>
      <c r="L36" s="9">
        <f t="shared" ca="1" si="17"/>
        <v>-91708839.117302641</v>
      </c>
      <c r="M36" s="112">
        <f t="shared" ca="1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 ca="1">SUM(B32:B40)</f>
        <v>156968010.24037746</v>
      </c>
      <c r="C41" s="124">
        <f t="shared" ref="C41:D41" ca="1" si="19">SUM(C32:C40)</f>
        <v>169586208.16392615</v>
      </c>
      <c r="D41" s="124">
        <f t="shared" ca="1" si="19"/>
        <v>185132359.43091157</v>
      </c>
      <c r="E41" s="5"/>
      <c r="G41" s="9">
        <f ca="1">SUM(G32:G40)</f>
        <v>-1779662786.0412292</v>
      </c>
      <c r="H41" s="9">
        <f t="shared" ref="H41:L41" ca="1" si="20">SUM(H32:H40)</f>
        <v>55656676.180068135</v>
      </c>
      <c r="I41" s="169">
        <f t="shared" ca="1" si="20"/>
        <v>-1835319462.2212975</v>
      </c>
      <c r="J41" s="9">
        <f t="shared" ca="1" si="20"/>
        <v>111313352.36013627</v>
      </c>
      <c r="K41" s="9">
        <f t="shared" ca="1" si="20"/>
        <v>60838726.602396615</v>
      </c>
      <c r="L41" s="169">
        <f t="shared" ca="1" si="20"/>
        <v>-2007471541.1838303</v>
      </c>
      <c r="M41" s="174">
        <f ca="1">SUM(M32:M40)</f>
        <v>-1921395501.7025642</v>
      </c>
      <c r="N41" s="10"/>
      <c r="O41" s="9"/>
    </row>
    <row r="42" spans="1:15">
      <c r="B42" s="7">
        <f ca="1">'gas activity'!G43-B41</f>
        <v>0</v>
      </c>
      <c r="C42" s="7">
        <f ca="1">'gas activity'!H43-C41</f>
        <v>0</v>
      </c>
      <c r="D42" s="7">
        <f ca="1">'gas activity'!I43-D41</f>
        <v>0</v>
      </c>
      <c r="K42" s="169">
        <f ca="1"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 ca="1">'gas activity'!G9</f>
        <v>917406.12143355771</v>
      </c>
      <c r="C45" s="5">
        <f ca="1">'gas activity'!H9</f>
        <v>929591.19206354406</v>
      </c>
      <c r="D45" s="5">
        <f ca="1">'gas activity'!I9</f>
        <v>941938.1058977436</v>
      </c>
      <c r="E45" s="5"/>
      <c r="G45" s="9">
        <f ca="1">SUM('gas activity'!D9,'gas activity'!G9)</f>
        <v>69988322.261433557</v>
      </c>
      <c r="H45" s="7">
        <f ca="1">C45/12*4</f>
        <v>309863.730687848</v>
      </c>
      <c r="I45" s="9">
        <f ca="1">SUM(G45:H45)</f>
        <v>70298185.992121398</v>
      </c>
      <c r="J45" s="112">
        <f ca="1">C45/12*8</f>
        <v>619727.461375696</v>
      </c>
      <c r="K45" s="112">
        <f ca="1">D45/12*4</f>
        <v>313979.3686325812</v>
      </c>
      <c r="L45" s="9">
        <f ca="1">SUM(I45:K45)</f>
        <v>71231892.822129682</v>
      </c>
      <c r="M45" s="112">
        <f t="shared" ref="M45:M52" ca="1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 ca="1">'gas activity'!G11</f>
        <v>193949853.82023433</v>
      </c>
      <c r="C47" s="5">
        <f ca="1">'gas activity'!H11</f>
        <v>204067454.85303387</v>
      </c>
      <c r="D47" s="5">
        <f ca="1">'gas activity'!I11</f>
        <v>214712851.33729991</v>
      </c>
      <c r="E47" s="5"/>
      <c r="G47" s="9">
        <f ca="1">SUM('gas activity'!D11,'gas activity'!G11)</f>
        <v>3911881177.1590118</v>
      </c>
      <c r="H47" s="7">
        <f t="shared" ca="1" si="22"/>
        <v>68022484.951011285</v>
      </c>
      <c r="I47" s="9">
        <f t="shared" ca="1" si="23"/>
        <v>3979903662.110023</v>
      </c>
      <c r="J47" s="112">
        <f t="shared" ca="1" si="24"/>
        <v>136044969.90202257</v>
      </c>
      <c r="K47" s="112">
        <f t="shared" ca="1" si="25"/>
        <v>71570950.445766643</v>
      </c>
      <c r="L47" s="9">
        <f t="shared" ca="1" si="26"/>
        <v>4187519582.4578118</v>
      </c>
      <c r="M47" s="112">
        <f t="shared" ca="1" si="21"/>
        <v>4083711622.2839174</v>
      </c>
    </row>
    <row r="48" spans="1:15">
      <c r="A48" s="6" t="s">
        <v>16</v>
      </c>
      <c r="B48" s="5">
        <f ca="1">'gas activity'!G12</f>
        <v>17761506.46546562</v>
      </c>
      <c r="C48" s="5">
        <f ca="1">'gas activity'!H12</f>
        <v>20444524.386764865</v>
      </c>
      <c r="D48" s="5">
        <f ca="1">'gas activity'!I12</f>
        <v>23532833.671159327</v>
      </c>
      <c r="E48" s="5"/>
      <c r="G48" s="9">
        <f ca="1">SUM('gas activity'!D12,'gas activity'!G12)</f>
        <v>135342201.479985</v>
      </c>
      <c r="H48" s="7">
        <f t="shared" ca="1" si="22"/>
        <v>6814841.4622549554</v>
      </c>
      <c r="I48" s="9">
        <f t="shared" ca="1" si="23"/>
        <v>142157042.94223994</v>
      </c>
      <c r="J48" s="112">
        <f t="shared" ca="1" si="24"/>
        <v>13629682.924509911</v>
      </c>
      <c r="K48" s="112">
        <f t="shared" ca="1" si="25"/>
        <v>7844277.8903864427</v>
      </c>
      <c r="L48" s="9">
        <f t="shared" ca="1" si="26"/>
        <v>163631003.75713629</v>
      </c>
      <c r="M48" s="112">
        <f t="shared" ca="1" si="21"/>
        <v>152894023.34968811</v>
      </c>
    </row>
    <row r="49" spans="1:13">
      <c r="A49" s="6" t="s">
        <v>17</v>
      </c>
      <c r="B49" s="5">
        <f ca="1">'gas activity'!G13</f>
        <v>6199697.0608876264</v>
      </c>
      <c r="C49" s="5">
        <f ca="1">'gas activity'!H13</f>
        <v>6379680.4545085011</v>
      </c>
      <c r="D49" s="5">
        <f ca="1">'gas activity'!I13</f>
        <v>6564888.9456883604</v>
      </c>
      <c r="E49" s="5"/>
      <c r="G49" s="9">
        <f ca="1">SUM('gas activity'!D13,'gas activity'!G13)</f>
        <v>219754086.01602975</v>
      </c>
      <c r="H49" s="7">
        <f t="shared" ca="1" si="22"/>
        <v>2126560.1515028337</v>
      </c>
      <c r="I49" s="9">
        <f t="shared" ca="1" si="23"/>
        <v>221880646.16753259</v>
      </c>
      <c r="J49" s="112">
        <f t="shared" ca="1" si="24"/>
        <v>4253120.3030056674</v>
      </c>
      <c r="K49" s="112">
        <f t="shared" ca="1" si="25"/>
        <v>2188296.3152294536</v>
      </c>
      <c r="L49" s="9">
        <f t="shared" ca="1" si="26"/>
        <v>228322062.7857677</v>
      </c>
      <c r="M49" s="112">
        <f t="shared" ca="1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 ca="1">SUM(B45:B52)</f>
        <v>256640866.58560237</v>
      </c>
      <c r="C53" s="124">
        <f t="shared" ref="C53:D53" ca="1" si="27">SUM(C45:C52)</f>
        <v>275118239.12020969</v>
      </c>
      <c r="D53" s="124">
        <f t="shared" ca="1" si="27"/>
        <v>281588584.54061043</v>
      </c>
      <c r="E53" s="5"/>
      <c r="G53" s="9">
        <f ca="1">SUM(G45:G52)</f>
        <v>4557581238.5856018</v>
      </c>
      <c r="H53" s="9">
        <f t="shared" ref="H53:L53" ca="1" si="28">SUM(H45:H52)</f>
        <v>91706079.706736535</v>
      </c>
      <c r="I53" s="169">
        <f t="shared" ca="1" si="28"/>
        <v>4649287318.2923384</v>
      </c>
      <c r="J53" s="9">
        <f t="shared" ca="1" si="28"/>
        <v>183412159.41347307</v>
      </c>
      <c r="K53" s="9">
        <f t="shared" ca="1" si="28"/>
        <v>93862861.513536826</v>
      </c>
      <c r="L53" s="169">
        <f t="shared" ca="1" si="28"/>
        <v>4926562339.219348</v>
      </c>
      <c r="M53" s="174">
        <f ca="1">SUM(M45:M52)</f>
        <v>4787924828.7558441</v>
      </c>
    </row>
    <row r="54" spans="1:13">
      <c r="B54" s="7">
        <f ca="1">'gas activity'!G17-B53</f>
        <v>0</v>
      </c>
      <c r="C54" s="7">
        <f ca="1">'gas activity'!H17-C53</f>
        <v>0</v>
      </c>
      <c r="D54" s="7">
        <f ca="1">'gas activity'!I17-D53</f>
        <v>0</v>
      </c>
      <c r="K54" s="169">
        <f ca="1"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 ca="1">'[3]RJA-3_Electric_Attrition'!$H57</f>
        <v>1.5006211864456276E-2</v>
      </c>
      <c r="F8" s="38"/>
      <c r="G8" s="112">
        <f t="shared" ref="G8:G13" ca="1" si="0">+D8*E8</f>
        <v>63856042.316046029</v>
      </c>
      <c r="H8" s="112">
        <f t="shared" ref="H8:H13" ca="1" si="1">+(D8+G8)*E8</f>
        <v>64814279.615866303</v>
      </c>
      <c r="I8" s="112">
        <f t="shared" ref="I8:I13" ca="1" si="2">+(+D8+G8+H8)*(+E8)</f>
        <v>65786896.427624106</v>
      </c>
      <c r="J8" s="112">
        <f ca="1">SUM(G8:I8)</f>
        <v>194457218.35953644</v>
      </c>
      <c r="K8" s="28">
        <f ca="1"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 ca="1">'[3]RJA-3_Electric_Attrition'!$H58</f>
        <v>5.3215264320141842E-2</v>
      </c>
      <c r="F9" s="38"/>
      <c r="G9" s="112">
        <f t="shared" ca="1" si="0"/>
        <v>83251194.905268282</v>
      </c>
      <c r="H9" s="112">
        <f t="shared" ca="1" si="1"/>
        <v>87681429.247119769</v>
      </c>
      <c r="I9" s="112">
        <f t="shared" ca="1" si="2"/>
        <v>92347419.680473059</v>
      </c>
      <c r="J9" s="112">
        <f t="shared" ref="J9:J15" ca="1" si="3">SUM(G9:I9)</f>
        <v>263280043.8328611</v>
      </c>
      <c r="K9" s="28">
        <f t="shared" ref="K9:K16" ca="1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 ca="1">'[3]RJA-3_Electric_Attrition'!$H59</f>
        <v>3.4394221048451933E-2</v>
      </c>
      <c r="F10" s="38"/>
      <c r="G10" s="112">
        <f t="shared" ca="1" si="0"/>
        <v>137032794.17850628</v>
      </c>
      <c r="H10" s="112">
        <f t="shared" ca="1" si="1"/>
        <v>141745930.39236885</v>
      </c>
      <c r="I10" s="112">
        <f t="shared" ca="1" si="2"/>
        <v>146621171.25500247</v>
      </c>
      <c r="J10" s="112">
        <f t="shared" ca="1" si="3"/>
        <v>425399895.82587767</v>
      </c>
      <c r="K10" s="28">
        <f t="shared" ca="1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 ca="1">'[3]RJA-3_Electric_Attrition'!$H60</f>
        <v>0.16157434378051261</v>
      </c>
      <c r="F11" s="38"/>
      <c r="G11" s="112">
        <f t="shared" ca="1" si="0"/>
        <v>54550914.901827984</v>
      </c>
      <c r="H11" s="112">
        <f t="shared" ca="1" si="1"/>
        <v>63364943.179717429</v>
      </c>
      <c r="I11" s="112">
        <f t="shared" ca="1" si="2"/>
        <v>73603092.292669728</v>
      </c>
      <c r="J11" s="112">
        <f t="shared" ca="1" si="3"/>
        <v>191518950.37421513</v>
      </c>
      <c r="K11" s="28">
        <f t="shared" ca="1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 ca="1">'[3]RJA-3_Electric_Attrition'!$H61</f>
        <v>6.0398964202900807E-2</v>
      </c>
      <c r="F12" s="38"/>
      <c r="G12" s="112">
        <f t="shared" ca="1" si="0"/>
        <v>35696720.410958663</v>
      </c>
      <c r="H12" s="112">
        <f t="shared" ca="1" si="1"/>
        <v>37852765.34922111</v>
      </c>
      <c r="I12" s="112">
        <f t="shared" ca="1" si="2"/>
        <v>40139033.168529518</v>
      </c>
      <c r="J12" s="112">
        <f t="shared" ca="1" si="3"/>
        <v>113688518.9287093</v>
      </c>
      <c r="K12" s="28">
        <f t="shared" ca="1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ca="1" si="5">SUM(G8:G15)</f>
        <v>461508645.19847077</v>
      </c>
      <c r="H16" s="115">
        <f t="shared" ca="1" si="5"/>
        <v>493721647.7921406</v>
      </c>
      <c r="I16" s="115">
        <f t="shared" ca="1" si="5"/>
        <v>500543746.21821266</v>
      </c>
      <c r="J16" s="115">
        <f ca="1">SUM(J8:J15)</f>
        <v>1455774039.2088239</v>
      </c>
      <c r="K16" s="28">
        <f t="shared" ca="1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 ca="1">D16+G16</f>
        <v>11360054472.762949</v>
      </c>
      <c r="H17" s="179">
        <f ca="1">G17+H16</f>
        <v>11853776120.55509</v>
      </c>
      <c r="I17" s="179">
        <f ca="1"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ca="1" si="6">E8</f>
        <v>1.5006211864456276E-2</v>
      </c>
      <c r="F20" s="38"/>
      <c r="G20" s="112">
        <f t="shared" ref="G20" ca="1" si="7">+D20*E20</f>
        <v>1560514.913525796</v>
      </c>
      <c r="H20" s="112">
        <f ca="1">+(D20+G20)*E20+G20</f>
        <v>3144447.2444616035</v>
      </c>
      <c r="I20" s="112">
        <f ca="1">+(+D20+G20+H20)*(+E20)+H20</f>
        <v>4775565.8169444073</v>
      </c>
      <c r="J20" s="112">
        <f ca="1"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ca="1" si="6"/>
        <v>5.3215264320141842E-2</v>
      </c>
      <c r="F21" s="38"/>
      <c r="G21" s="112">
        <f t="shared" ref="G21:G24" ca="1" si="8">+D21*E21</f>
        <v>1821049.7778447447</v>
      </c>
      <c r="H21" s="112">
        <f t="shared" ref="H21:H24" ca="1" si="9">+(D21+G21)*E21+G21</f>
        <v>3739007.2009576331</v>
      </c>
      <c r="I21" s="112">
        <f t="shared" ref="I21:I24" ca="1" si="10">+(+D21+G21+H21)*(+E21)+H21</f>
        <v>5855936.8805643953</v>
      </c>
      <c r="J21" s="112">
        <f t="shared" ref="J21:J28" ca="1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ca="1" si="6"/>
        <v>3.4394221048451933E-2</v>
      </c>
      <c r="F22" s="38"/>
      <c r="G22" s="112">
        <f t="shared" ca="1" si="8"/>
        <v>4296837.6883583032</v>
      </c>
      <c r="H22" s="112">
        <f t="shared" ca="1" si="9"/>
        <v>8741461.761979321</v>
      </c>
      <c r="I22" s="112">
        <f t="shared" ca="1" si="10"/>
        <v>13486741.603728445</v>
      </c>
      <c r="J22" s="112">
        <f t="shared" ca="1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ca="1" si="6"/>
        <v>0.16157434378051261</v>
      </c>
      <c r="F23" s="38"/>
      <c r="G23" s="112">
        <f t="shared" ca="1" si="8"/>
        <v>8339542.6805532258</v>
      </c>
      <c r="H23" s="112">
        <f t="shared" ca="1" si="9"/>
        <v>18026541.497146416</v>
      </c>
      <c r="I23" s="112">
        <f t="shared" ca="1" si="10"/>
        <v>30626166.92677322</v>
      </c>
      <c r="J23" s="112">
        <f t="shared" ca="1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ca="1" si="6"/>
        <v>6.0398964202900807E-2</v>
      </c>
      <c r="F24" s="38"/>
      <c r="G24" s="112">
        <f t="shared" ca="1" si="8"/>
        <v>1966033.2102354991</v>
      </c>
      <c r="H24" s="112">
        <f t="shared" ca="1" si="9"/>
        <v>4050812.7899577264</v>
      </c>
      <c r="I24" s="112">
        <f t="shared" ca="1" si="10"/>
        <v>6380257.2663732627</v>
      </c>
      <c r="J24" s="112">
        <f t="shared" ca="1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ca="1" si="12">SUM(G20:G28)</f>
        <v>56228337.923733212</v>
      </c>
      <c r="H29" s="115">
        <f t="shared" ca="1" si="12"/>
        <v>81531645.562186524</v>
      </c>
      <c r="I29" s="115">
        <f t="shared" ca="1" si="12"/>
        <v>113654912.58428603</v>
      </c>
      <c r="J29" s="115">
        <f ca="1">SUM(J20:J28)</f>
        <v>251414896.07020581</v>
      </c>
    </row>
    <row r="30" spans="1:11">
      <c r="D30" s="179">
        <f>SUM('[3]RJA-3_Electric_Attrition'!$C$30:$C$31)</f>
        <v>416706154.01999998</v>
      </c>
      <c r="G30" s="38">
        <f ca="1">G29/G16</f>
        <v>0.12183593635510845</v>
      </c>
      <c r="H30" s="38">
        <f ca="1">H29/H16</f>
        <v>0.1651368659380959</v>
      </c>
      <c r="I30" s="38">
        <f ca="1"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 ca="1">D33+G20</f>
        <v>105551777.17352578</v>
      </c>
      <c r="H33" s="112">
        <f ca="1">D33+H20</f>
        <v>107135709.50446159</v>
      </c>
      <c r="I33" s="112">
        <f ca="1">D33+I20</f>
        <v>108766828.0769444</v>
      </c>
      <c r="J33" s="112">
        <f ca="1"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ca="1" si="14">D34+G21</f>
        <v>36041490.117844746</v>
      </c>
      <c r="H34" s="112">
        <f t="shared" ref="H34:H37" ca="1" si="15">D34+H21</f>
        <v>37959447.540957637</v>
      </c>
      <c r="I34" s="112">
        <f t="shared" ref="I34:I37" ca="1" si="16">D34+I21</f>
        <v>40076377.220564395</v>
      </c>
      <c r="J34" s="112">
        <f t="shared" ref="J34:J41" ca="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ca="1" si="14"/>
        <v>129225897.20406151</v>
      </c>
      <c r="H35" s="112">
        <f t="shared" ca="1" si="15"/>
        <v>133670521.27768253</v>
      </c>
      <c r="I35" s="112">
        <f t="shared" ca="1" si="16"/>
        <v>138415801.11943164</v>
      </c>
      <c r="J35" s="112">
        <f t="shared" ca="1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ca="1" si="14"/>
        <v>59953818.099687271</v>
      </c>
      <c r="H36" s="112">
        <f t="shared" ca="1" si="15"/>
        <v>69640816.916280463</v>
      </c>
      <c r="I36" s="112">
        <f t="shared" ca="1" si="16"/>
        <v>82240442.345907271</v>
      </c>
      <c r="J36" s="112">
        <f t="shared" ca="1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ca="1" si="14"/>
        <v>34516810.134669505</v>
      </c>
      <c r="H37" s="112">
        <f t="shared" ca="1" si="15"/>
        <v>36601589.714391731</v>
      </c>
      <c r="I37" s="112">
        <f t="shared" ca="1" si="16"/>
        <v>38931034.190807268</v>
      </c>
      <c r="J37" s="112">
        <f t="shared" ca="1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 ca="1">SUM(G33:G41)</f>
        <v>445832865.00300443</v>
      </c>
      <c r="H42" s="112">
        <f t="shared" ref="H42:I42" ca="1" si="21">SUM(H33:H41)</f>
        <v>471136172.64145774</v>
      </c>
      <c r="I42" s="112">
        <f t="shared" ca="1" si="21"/>
        <v>503259439.66355729</v>
      </c>
      <c r="J42" s="112">
        <f ca="1">SUM(J33:J41)</f>
        <v>1420228477.3080194</v>
      </c>
    </row>
    <row r="43" spans="1:12" outlineLevel="1">
      <c r="D43" s="28">
        <f>D29-D42</f>
        <v>0</v>
      </c>
      <c r="G43" s="154">
        <f ca="1">SUM(D33:D38,G29)</f>
        <v>445832865.00300449</v>
      </c>
      <c r="H43" s="154">
        <f ca="1">SUM(D33:D38,H29)</f>
        <v>471136172.6414578</v>
      </c>
      <c r="I43" s="154">
        <f ca="1">SUM(D33:D38,I29)</f>
        <v>503259439.66355729</v>
      </c>
      <c r="J43" s="154">
        <f ca="1"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 ca="1">D46-G33</f>
        <v>-2096565617.9162521</v>
      </c>
      <c r="H46" s="112">
        <f ca="1">G46-H33</f>
        <v>-2203701327.4207139</v>
      </c>
      <c r="I46" s="112">
        <f ca="1"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ca="1" si="22">D47-G34</f>
        <v>-554194789.61427975</v>
      </c>
      <c r="H47" s="112">
        <f t="shared" ref="H47:I47" ca="1" si="23">G47-H34</f>
        <v>-592154237.15523744</v>
      </c>
      <c r="I47" s="112">
        <f t="shared" ca="1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ca="1" si="22"/>
        <v>-1621848847.6979225</v>
      </c>
      <c r="H48" s="112">
        <f t="shared" ref="H48:I48" ca="1" si="24">G48-H35</f>
        <v>-1755519368.975605</v>
      </c>
      <c r="I48" s="112">
        <f t="shared" ca="1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ca="1" si="22"/>
        <v>-197881741.28710985</v>
      </c>
      <c r="H49" s="112">
        <f t="shared" ref="H49:I49" ca="1" si="25">G49-H36</f>
        <v>-267522558.2033903</v>
      </c>
      <c r="I49" s="112">
        <f t="shared" ca="1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ca="1" si="22"/>
        <v>-227283324.08936301</v>
      </c>
      <c r="H50" s="112">
        <f t="shared" ref="H50:I50" ca="1" si="26">G50-H37</f>
        <v>-263884913.80375475</v>
      </c>
      <c r="I50" s="112">
        <f t="shared" ca="1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 ca="1">SUM(G46:G54)</f>
        <v>-4834500400.2204447</v>
      </c>
      <c r="H55" s="112">
        <f t="shared" ref="H55:I55" ca="1" si="29">SUM(H46:H54)</f>
        <v>-5305636572.8619022</v>
      </c>
      <c r="I55" s="112">
        <f t="shared" ca="1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 ca="1">D55-G42</f>
        <v>-4834500400.2204456</v>
      </c>
      <c r="H56" s="154">
        <f ca="1">G56-H42</f>
        <v>-5305636572.8619032</v>
      </c>
      <c r="I56" s="154">
        <f ca="1"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 ca="1">'electric tax depr'!C12</f>
        <v>2394601.5868517258</v>
      </c>
      <c r="H58" s="145">
        <f ca="1">'electric tax depr'!D12</f>
        <v>7040303.1803903505</v>
      </c>
      <c r="I58" s="145">
        <f ca="1">'electric tax depr'!E12</f>
        <v>11409619.406947687</v>
      </c>
      <c r="J58" s="145">
        <f ca="1"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 ca="1">'electric tax depr'!C23</f>
        <v>3121919.8089475604</v>
      </c>
      <c r="H59" s="145">
        <f ca="1">'electric tax depr'!D23</f>
        <v>9297957.3569783084</v>
      </c>
      <c r="I59" s="145">
        <f ca="1">'electric tax depr'!E23</f>
        <v>15351432.89919208</v>
      </c>
      <c r="J59" s="145">
        <f t="shared" ref="J59:J66" ca="1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 ca="1">'electric tax depr'!C34</f>
        <v>5138729.7816939857</v>
      </c>
      <c r="H60" s="145">
        <f ca="1">'electric tax depr'!D34</f>
        <v>15207869.801460203</v>
      </c>
      <c r="I60" s="145">
        <f ca="1">'electric tax depr'!E34</f>
        <v>24880612.304386564</v>
      </c>
      <c r="J60" s="145">
        <f t="shared" ca="1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 ca="1">'electric tax depr'!C67</f>
        <v>9091819.1503046639</v>
      </c>
      <c r="H61" s="145">
        <f ca="1">'electric tax depr'!D67</f>
        <v>28744462.163895566</v>
      </c>
      <c r="I61" s="145">
        <f ca="1">'electric tax depr'!E67</f>
        <v>51572468.075960092</v>
      </c>
      <c r="J61" s="145">
        <f t="shared" ca="1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 ca="1">'electric tax depr'!C89</f>
        <v>5101061.3467259929</v>
      </c>
      <c r="H62" s="145">
        <f ca="1">'electric tax depr'!D89</f>
        <v>14151286.997047473</v>
      </c>
      <c r="I62" s="145">
        <f ca="1">'electric tax depr'!E89</f>
        <v>19376359.553720787</v>
      </c>
      <c r="J62" s="145">
        <f t="shared" ca="1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 ca="1">SUM(G58:G66)</f>
        <v>41255902.75835894</v>
      </c>
      <c r="H67" s="153">
        <f ca="1">SUM(H58:H66)</f>
        <v>121050071.62526707</v>
      </c>
      <c r="I67" s="153">
        <f ca="1">SUM(I58:I66)</f>
        <v>190991277.55828047</v>
      </c>
      <c r="J67" s="153">
        <f ca="1">SUM(J58:J66)</f>
        <v>353297251.94190651</v>
      </c>
    </row>
    <row r="68" spans="1:10">
      <c r="G68" s="154">
        <f ca="1">'electric tax depr'!C97-G67</f>
        <v>0</v>
      </c>
      <c r="H68" s="154">
        <f ca="1">'electric tax depr'!D97-H67</f>
        <v>0</v>
      </c>
      <c r="I68" s="154">
        <f ca="1"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 ca="1">(G58-G20)*0.21</f>
        <v>175158.20139844524</v>
      </c>
      <c r="H70" s="112">
        <f t="shared" ref="H70:I70" ca="1" si="31">(H58-H20)*0.21</f>
        <v>818129.74654503691</v>
      </c>
      <c r="I70" s="112">
        <f t="shared" ca="1" si="31"/>
        <v>1393151.2539006888</v>
      </c>
      <c r="J70" s="112">
        <f ca="1"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ca="1" si="32">(G59-G21)*0.21</f>
        <v>273182.70653159125</v>
      </c>
      <c r="H71" s="112">
        <f t="shared" ca="1" si="32"/>
        <v>1167379.5327643417</v>
      </c>
      <c r="I71" s="112">
        <f t="shared" ca="1" si="32"/>
        <v>1994054.1639118136</v>
      </c>
      <c r="J71" s="112">
        <f t="shared" ref="J71:J78" ca="1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ca="1" si="34">(G60-G22)*0.21</f>
        <v>176797.33960049332</v>
      </c>
      <c r="H72" s="112">
        <f t="shared" ca="1" si="34"/>
        <v>1357945.6882909851</v>
      </c>
      <c r="I72" s="112">
        <f t="shared" ca="1" si="34"/>
        <v>2392712.8471382046</v>
      </c>
      <c r="J72" s="112">
        <f t="shared" ca="1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ca="1" si="35">(G61-G23)*0.21</f>
        <v>157978.05864780201</v>
      </c>
      <c r="H73" s="112">
        <f t="shared" ca="1" si="35"/>
        <v>2250763.3400173215</v>
      </c>
      <c r="I73" s="112">
        <f t="shared" ca="1" si="35"/>
        <v>4398723.2413292434</v>
      </c>
      <c r="J73" s="112">
        <f t="shared" ca="1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ca="1" si="36">(G62-G24)*0.21</f>
        <v>658355.90866300371</v>
      </c>
      <c r="H74" s="112">
        <f t="shared" ca="1" si="36"/>
        <v>2121099.5834888467</v>
      </c>
      <c r="I74" s="112">
        <f t="shared" ca="1" si="36"/>
        <v>2729181.48034298</v>
      </c>
      <c r="J74" s="112">
        <f t="shared" ca="1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ca="1" si="41">SUM(G70:G78)</f>
        <v>-3144211.384728597</v>
      </c>
      <c r="H79" s="115">
        <f t="shared" ca="1" si="41"/>
        <v>8298869.4732469134</v>
      </c>
      <c r="I79" s="115">
        <f t="shared" ca="1" si="41"/>
        <v>16240636.644538831</v>
      </c>
      <c r="J79" s="115">
        <f ca="1">SUM(J70:J78)</f>
        <v>21395294.733057149</v>
      </c>
    </row>
    <row r="80" spans="1:10">
      <c r="G80" s="154">
        <f ca="1">(G67-G29)*0.21</f>
        <v>-3144211.384728597</v>
      </c>
      <c r="H80" s="154">
        <f t="shared" ref="H80:J80" ca="1" si="42">(H67-H29)*0.21</f>
        <v>8298869.4732469153</v>
      </c>
      <c r="I80" s="154">
        <f t="shared" ca="1" si="42"/>
        <v>16240636.644538831</v>
      </c>
      <c r="J80" s="154">
        <f t="shared" ca="1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 ca="1">-G70</f>
        <v>-175158.20139844524</v>
      </c>
      <c r="H82" s="112">
        <f t="shared" ref="H82:I90" ca="1" si="43">G82-H70</f>
        <v>-993287.94794348208</v>
      </c>
      <c r="I82" s="112">
        <f t="shared" ca="1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 ca="1">-G71</f>
        <v>-273182.70653159125</v>
      </c>
      <c r="H83" s="112">
        <f t="shared" ca="1" si="43"/>
        <v>-1440562.2392959329</v>
      </c>
      <c r="I83" s="112">
        <f t="shared" ca="1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 ca="1">-G72</f>
        <v>-176797.33960049332</v>
      </c>
      <c r="H84" s="112">
        <f t="shared" ca="1" si="43"/>
        <v>-1534743.0278914785</v>
      </c>
      <c r="I84" s="112">
        <f t="shared" ca="1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 ca="1">-G73</f>
        <v>-157978.05864780201</v>
      </c>
      <c r="H85" s="112">
        <f t="shared" ca="1" si="43"/>
        <v>-2408741.3986651236</v>
      </c>
      <c r="I85" s="112">
        <f t="shared" ca="1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 ca="1">-G74</f>
        <v>-658355.90866300371</v>
      </c>
      <c r="H86" s="112">
        <f t="shared" ca="1" si="43"/>
        <v>-2779455.4921518504</v>
      </c>
      <c r="I86" s="112">
        <f t="shared" ca="1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ca="1" si="45">SUM(G82:G90)</f>
        <v>3144211.384728597</v>
      </c>
      <c r="H91" s="115">
        <f t="shared" ca="1" si="45"/>
        <v>-5154658.0885183178</v>
      </c>
      <c r="I91" s="115">
        <f t="shared" ca="1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'electric activity'!$G$8</f>
        <v>63856042.316046029</v>
      </c>
      <c r="C9" s="138">
        <f ca="1">$B$9*C4</f>
        <v>2394601.5868517258</v>
      </c>
      <c r="D9" s="138">
        <f ca="1">$B$9*D4</f>
        <v>4609767.6947953636</v>
      </c>
      <c r="E9" s="138">
        <f ca="1">$B$9*E4</f>
        <v>4263667.9454423934</v>
      </c>
      <c r="F9" s="139">
        <f ca="1">SUM(C9:E9)</f>
        <v>11268037.227089483</v>
      </c>
      <c r="I9" s="135"/>
    </row>
    <row r="10" spans="1:11">
      <c r="A10" s="21">
        <v>2020</v>
      </c>
      <c r="B10" s="5">
        <f ca="1">'electric activity'!$H$8</f>
        <v>64814279.615866303</v>
      </c>
      <c r="D10" s="19">
        <f ca="1">$B$10*D5</f>
        <v>2430535.4855949865</v>
      </c>
      <c r="E10" s="19">
        <f ca="1">$B$10*E5</f>
        <v>4678942.8454693891</v>
      </c>
      <c r="F10" s="19">
        <f ca="1">SUM(D10:E10)</f>
        <v>7109478.3310643751</v>
      </c>
      <c r="I10" s="135"/>
    </row>
    <row r="11" spans="1:11">
      <c r="A11" s="21">
        <v>2021</v>
      </c>
      <c r="B11" s="5">
        <f ca="1">'electric activity'!$I$8</f>
        <v>65786896.427624106</v>
      </c>
      <c r="D11" s="19"/>
      <c r="E11" s="19">
        <f ca="1">$B$11*E6</f>
        <v>2467008.6160359038</v>
      </c>
      <c r="F11" s="19">
        <f ca="1">SUM(D11:E11)</f>
        <v>2467008.6160359038</v>
      </c>
      <c r="I11" s="135"/>
    </row>
    <row r="12" spans="1:11" ht="15.75" thickBot="1">
      <c r="B12" s="140">
        <f t="shared" ref="B12:C12" ca="1" si="0">SUM(B9:B11)</f>
        <v>194457218.35953644</v>
      </c>
      <c r="C12" s="140">
        <f t="shared" ca="1" si="0"/>
        <v>2394601.5868517258</v>
      </c>
      <c r="D12" s="140">
        <f ca="1">SUM(D9:D11)</f>
        <v>7040303.1803903505</v>
      </c>
      <c r="E12" s="140">
        <f ca="1">SUM(E9:E11)</f>
        <v>11409619.406947687</v>
      </c>
      <c r="F12" s="141">
        <f ca="1"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'electric activity'!$G$9</f>
        <v>83251194.905268282</v>
      </c>
      <c r="C20" s="138">
        <f ca="1">$B$20*C15</f>
        <v>3121919.8089475604</v>
      </c>
      <c r="D20" s="138">
        <f ca="1">$B$20*D15</f>
        <v>6009903.7602113178</v>
      </c>
      <c r="E20" s="138">
        <f ca="1">$B$20*E15</f>
        <v>5558682.2838247633</v>
      </c>
      <c r="F20" s="139">
        <f ca="1">SUM(C20:E20)</f>
        <v>14690505.852983642</v>
      </c>
      <c r="I20" s="136"/>
      <c r="K20" s="142"/>
    </row>
    <row r="21" spans="1:11">
      <c r="A21" s="21">
        <v>2020</v>
      </c>
      <c r="B21" s="5">
        <f ca="1">'electric activity'!$H$9</f>
        <v>87681429.247119769</v>
      </c>
      <c r="D21" s="19">
        <f ca="1">$B$21*D16</f>
        <v>3288053.5967669911</v>
      </c>
      <c r="E21" s="19">
        <f ca="1">$B$21*E16</f>
        <v>6329722.3773495769</v>
      </c>
      <c r="F21" s="19">
        <f ca="1">SUM(D21:E21)</f>
        <v>9617775.9741165675</v>
      </c>
      <c r="I21" s="136"/>
      <c r="K21" s="142"/>
    </row>
    <row r="22" spans="1:11">
      <c r="A22" s="21">
        <v>2021</v>
      </c>
      <c r="B22" s="5">
        <f ca="1">'electric activity'!$I$9</f>
        <v>92347419.680473059</v>
      </c>
      <c r="D22" s="19"/>
      <c r="E22" s="19">
        <f ca="1">$B$22*E17</f>
        <v>3463028.2380177397</v>
      </c>
      <c r="F22" s="19">
        <f ca="1">SUM(D22:E22)</f>
        <v>3463028.2380177397</v>
      </c>
      <c r="I22" s="136"/>
      <c r="K22" s="142"/>
    </row>
    <row r="23" spans="1:11" ht="15.75" thickBot="1">
      <c r="B23" s="140">
        <f t="shared" ref="B23:F23" ca="1" si="1">SUM(B20:B22)</f>
        <v>263280043.8328611</v>
      </c>
      <c r="C23" s="140">
        <f t="shared" ca="1" si="1"/>
        <v>3121919.8089475604</v>
      </c>
      <c r="D23" s="140">
        <f t="shared" ca="1" si="1"/>
        <v>9297957.3569783084</v>
      </c>
      <c r="E23" s="140">
        <f t="shared" ca="1" si="1"/>
        <v>15351432.89919208</v>
      </c>
      <c r="F23" s="141">
        <f t="shared" ca="1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 ca="1">'electric activity'!$G$10</f>
        <v>137032794.17850628</v>
      </c>
      <c r="C31" s="138">
        <f ca="1">$B$31*C26</f>
        <v>5138729.7816939857</v>
      </c>
      <c r="D31" s="138">
        <f ca="1">$B$31*D26</f>
        <v>9892397.4117463697</v>
      </c>
      <c r="E31" s="138">
        <f ca="1">$B$31*E26</f>
        <v>9149679.6672988646</v>
      </c>
      <c r="F31" s="139">
        <f ca="1">SUM(C31:E31)</f>
        <v>24180806.86073922</v>
      </c>
      <c r="I31" s="136"/>
      <c r="K31" s="142"/>
    </row>
    <row r="32" spans="1:11">
      <c r="A32" s="21">
        <v>2020</v>
      </c>
      <c r="B32" s="5">
        <f ca="1">'electric activity'!$H$10</f>
        <v>141745930.39236885</v>
      </c>
      <c r="D32" s="19">
        <f ca="1">$B$32*D27</f>
        <v>5315472.3897138322</v>
      </c>
      <c r="E32" s="19">
        <f ca="1">$B$32*E27</f>
        <v>10232638.715025108</v>
      </c>
      <c r="F32" s="19">
        <f ca="1">SUM(D32:E32)</f>
        <v>15548111.10473894</v>
      </c>
      <c r="I32" s="136"/>
      <c r="K32" s="142"/>
    </row>
    <row r="33" spans="1:11">
      <c r="A33" s="21">
        <v>2021</v>
      </c>
      <c r="B33" s="5">
        <f ca="1">'electric activity'!$I$10</f>
        <v>146621171.25500247</v>
      </c>
      <c r="D33" s="19"/>
      <c r="E33" s="19">
        <f ca="1">$B$33*E28</f>
        <v>5498293.9220625926</v>
      </c>
      <c r="F33" s="19">
        <f ca="1">SUM(D33:E33)</f>
        <v>5498293.9220625926</v>
      </c>
      <c r="I33" s="136"/>
      <c r="K33" s="142"/>
    </row>
    <row r="34" spans="1:11" ht="15.75" thickBot="1">
      <c r="B34" s="140">
        <f t="shared" ref="B34:F34" ca="1" si="2">SUM(B31:B33)</f>
        <v>425399895.82587767</v>
      </c>
      <c r="C34" s="140">
        <f t="shared" ca="1" si="2"/>
        <v>5138729.7816939857</v>
      </c>
      <c r="D34" s="140">
        <f t="shared" ca="1" si="2"/>
        <v>15207869.801460203</v>
      </c>
      <c r="E34" s="140">
        <f t="shared" ca="1" si="2"/>
        <v>24880612.304386564</v>
      </c>
      <c r="F34" s="141">
        <f t="shared" ca="1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 ca="1">'electric activity'!$G$11</f>
        <v>54550914.901827984</v>
      </c>
      <c r="C64" s="138">
        <f ca="1">$B$64*C59</f>
        <v>9091819.1503046639</v>
      </c>
      <c r="D64" s="138">
        <f ca="1">$B$64*D59</f>
        <v>18183638.300609328</v>
      </c>
      <c r="E64" s="138">
        <f ca="1">$B$64*E59</f>
        <v>18183638.300609328</v>
      </c>
      <c r="F64" s="139">
        <f ca="1">SUM(C64:E64)</f>
        <v>45459095.751523316</v>
      </c>
    </row>
    <row r="65" spans="1:6">
      <c r="A65" s="21">
        <f>$A10</f>
        <v>2020</v>
      </c>
      <c r="B65" s="19">
        <f ca="1">'electric activity'!$H$11</f>
        <v>63364943.179717429</v>
      </c>
      <c r="D65" s="19">
        <f ca="1">$B$65*D60</f>
        <v>10560823.863286238</v>
      </c>
      <c r="E65" s="19">
        <f ca="1">$B$65*E60</f>
        <v>21121647.726572476</v>
      </c>
      <c r="F65" s="139">
        <f ca="1">SUM(C65:E65)</f>
        <v>31682471.589858714</v>
      </c>
    </row>
    <row r="66" spans="1:6">
      <c r="A66" s="21">
        <f>$A11</f>
        <v>2021</v>
      </c>
      <c r="B66" s="19">
        <f ca="1">'electric activity'!$I$11</f>
        <v>73603092.292669728</v>
      </c>
      <c r="D66" s="19"/>
      <c r="E66" s="19">
        <f ca="1">$B$66*E61</f>
        <v>12267182.048778288</v>
      </c>
      <c r="F66" s="139">
        <f ca="1">SUM(C66:E66)</f>
        <v>12267182.048778288</v>
      </c>
    </row>
    <row r="67" spans="1:6" ht="15.75" thickBot="1">
      <c r="B67" s="141">
        <f t="shared" ref="B67:F67" ca="1" si="6">SUM(B64:B66)</f>
        <v>191518950.37421513</v>
      </c>
      <c r="C67" s="141">
        <f t="shared" ca="1" si="6"/>
        <v>9091819.1503046639</v>
      </c>
      <c r="D67" s="141">
        <f t="shared" ca="1" si="6"/>
        <v>28744462.163895566</v>
      </c>
      <c r="E67" s="141">
        <f t="shared" ca="1" si="6"/>
        <v>51572468.075960092</v>
      </c>
      <c r="F67" s="141">
        <f t="shared" ca="1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 ca="1">'electric activity'!$G$12</f>
        <v>35696720.410958663</v>
      </c>
      <c r="C86" s="138">
        <f ca="1">$B$86*C81</f>
        <v>5101061.3467259929</v>
      </c>
      <c r="D86" s="138">
        <f ca="1">$B$86*D81</f>
        <v>8742126.8286437765</v>
      </c>
      <c r="E86" s="138">
        <f ca="1">$B$86*E81</f>
        <v>4370349.4799136687</v>
      </c>
      <c r="F86" s="138">
        <f ca="1">SUM(C86:E86)</f>
        <v>18213537.655283436</v>
      </c>
    </row>
    <row r="87" spans="1:8" outlineLevel="1">
      <c r="A87" s="21">
        <f>$A10</f>
        <v>2020</v>
      </c>
      <c r="B87" s="138">
        <f ca="1">'electric activity'!$H$12</f>
        <v>37852765.34922111</v>
      </c>
      <c r="D87" s="19">
        <f ca="1">$B$87*D82</f>
        <v>5409160.1684036963</v>
      </c>
      <c r="E87" s="19">
        <f ca="1">$B$87*E82</f>
        <v>9270142.2340242509</v>
      </c>
      <c r="F87" s="19">
        <f ca="1">SUM(D87:E87)</f>
        <v>14679302.402427947</v>
      </c>
    </row>
    <row r="88" spans="1:8" outlineLevel="1">
      <c r="A88" s="21">
        <f>$A11</f>
        <v>2021</v>
      </c>
      <c r="B88" s="138">
        <f ca="1">'electric activity'!$I$12</f>
        <v>40139033.168529518</v>
      </c>
      <c r="D88" s="19"/>
      <c r="E88" s="19">
        <f ca="1">$B$88*E83</f>
        <v>5735867.8397828685</v>
      </c>
      <c r="F88" s="19">
        <f ca="1">SUM(D88:E88)</f>
        <v>5735867.8397828685</v>
      </c>
    </row>
    <row r="89" spans="1:8" ht="15.75" outlineLevel="1" thickBot="1">
      <c r="B89" s="141">
        <f t="shared" ref="B89:F89" ca="1" si="10">SUM(B86:B88)</f>
        <v>113688518.9287093</v>
      </c>
      <c r="C89" s="141">
        <f t="shared" ca="1" si="10"/>
        <v>5101061.3467259929</v>
      </c>
      <c r="D89" s="141">
        <f t="shared" ca="1" si="10"/>
        <v>14151286.997047473</v>
      </c>
      <c r="E89" s="141">
        <f t="shared" ca="1" si="10"/>
        <v>19376359.553720787</v>
      </c>
      <c r="F89" s="141">
        <f t="shared" ca="1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ca="1" si="12">SUM(B9,B20,B31,B53,B64,B75,B86)</f>
        <v>461508645.19847077</v>
      </c>
      <c r="C94" s="138">
        <f t="shared" ca="1" si="12"/>
        <v>41255902.758358948</v>
      </c>
      <c r="D94" s="138">
        <f t="shared" ca="1" si="12"/>
        <v>75723116.956817567</v>
      </c>
      <c r="E94" s="138">
        <f t="shared" ca="1" si="12"/>
        <v>62562885.906926662</v>
      </c>
      <c r="F94" s="138">
        <f ca="1">SUM(C94:E94)</f>
        <v>179541905.62210318</v>
      </c>
    </row>
    <row r="95" spans="1:8" outlineLevel="1">
      <c r="A95" s="21">
        <f>A87</f>
        <v>2020</v>
      </c>
      <c r="B95" s="177">
        <f t="shared" ca="1" si="12"/>
        <v>493721647.7921406</v>
      </c>
      <c r="C95" s="138">
        <f t="shared" si="12"/>
        <v>0</v>
      </c>
      <c r="D95" s="138">
        <f t="shared" ca="1" si="12"/>
        <v>45326954.668449491</v>
      </c>
      <c r="E95" s="138">
        <f t="shared" ca="1" si="12"/>
        <v>83608850.235706151</v>
      </c>
      <c r="F95" s="138">
        <f ca="1">SUM(C95:E95)</f>
        <v>128935804.90415564</v>
      </c>
    </row>
    <row r="96" spans="1:8" outlineLevel="1">
      <c r="A96" s="21">
        <f>A88</f>
        <v>2021</v>
      </c>
      <c r="B96" s="177">
        <f t="shared" ca="1" si="12"/>
        <v>500543746.2182126</v>
      </c>
      <c r="C96" s="138">
        <f t="shared" si="12"/>
        <v>0</v>
      </c>
      <c r="D96" s="138">
        <f t="shared" si="12"/>
        <v>0</v>
      </c>
      <c r="E96" s="138">
        <f t="shared" ca="1" si="12"/>
        <v>44819541.415647678</v>
      </c>
      <c r="F96" s="138">
        <f ca="1">SUM(C96:E96)</f>
        <v>44819541.415647678</v>
      </c>
    </row>
    <row r="97" spans="2:6" ht="15.75" outlineLevel="1" thickBot="1">
      <c r="B97" s="178">
        <f t="shared" ref="B97:F97" ca="1" si="13">SUM(B94:B96)</f>
        <v>1455774039.2088239</v>
      </c>
      <c r="C97" s="141">
        <f t="shared" ca="1" si="13"/>
        <v>41255902.758358948</v>
      </c>
      <c r="D97" s="141">
        <f t="shared" ca="1" si="13"/>
        <v>121050071.62526706</v>
      </c>
      <c r="E97" s="141">
        <f t="shared" ca="1" si="13"/>
        <v>190991277.5582805</v>
      </c>
      <c r="F97" s="141">
        <f t="shared" ca="1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 ca="1">'[3]RJA-4_Gas_Attrition'!$H54</f>
        <v>1.3282089954823606E-2</v>
      </c>
      <c r="F9" s="38"/>
      <c r="G9" s="112">
        <f t="shared" ref="G9:G14" ca="1" si="0">+D9*E9</f>
        <v>917406.12143355771</v>
      </c>
      <c r="H9" s="112">
        <f t="shared" ref="H9:H14" ca="1" si="1">+(D9+G9)*E9</f>
        <v>929591.19206354406</v>
      </c>
      <c r="I9" s="112">
        <f t="shared" ref="I9:I14" ca="1" si="2">+(+D9+G9+H9)*(+E9)</f>
        <v>941938.1058977436</v>
      </c>
      <c r="J9" s="112">
        <f ca="1">SUM(G9:I9)</f>
        <v>2788935.4193948456</v>
      </c>
      <c r="K9" s="28">
        <f ca="1"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 ca="1">'[3]RJA-4_Gas_Attrition'!$H56</f>
        <v>5.2166066813214673E-2</v>
      </c>
      <c r="F11" s="38"/>
      <c r="G11" s="112">
        <f t="shared" ca="1" si="0"/>
        <v>193949853.82023433</v>
      </c>
      <c r="H11" s="112">
        <f t="shared" ca="1" si="1"/>
        <v>204067454.85303387</v>
      </c>
      <c r="I11" s="112">
        <f t="shared" ca="1" si="2"/>
        <v>214712851.33729991</v>
      </c>
      <c r="J11" s="112">
        <f t="shared" ca="1" si="3"/>
        <v>612730160.01056814</v>
      </c>
      <c r="K11" s="28">
        <f t="shared" ca="1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 ca="1">'[3]RJA-4_Gas_Attrition'!$H57</f>
        <v>0.15105801563149757</v>
      </c>
      <c r="F12" s="38"/>
      <c r="G12" s="112">
        <f t="shared" ca="1" si="0"/>
        <v>17761506.46546562</v>
      </c>
      <c r="H12" s="112">
        <f t="shared" ca="1" si="1"/>
        <v>20444524.386764865</v>
      </c>
      <c r="I12" s="112">
        <f t="shared" ca="1" si="2"/>
        <v>23532833.671159327</v>
      </c>
      <c r="J12" s="112">
        <f t="shared" ca="1" si="3"/>
        <v>61738864.523389816</v>
      </c>
      <c r="K12" s="28">
        <f t="shared" ca="1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 ca="1">'[3]RJA-4_Gas_Attrition'!$H58</f>
        <v>2.903099810414056E-2</v>
      </c>
      <c r="F13" s="38"/>
      <c r="G13" s="112">
        <f t="shared" ca="1" si="0"/>
        <v>6199697.0608876264</v>
      </c>
      <c r="H13" s="112">
        <f t="shared" ca="1" si="1"/>
        <v>6379680.4545085011</v>
      </c>
      <c r="I13" s="112">
        <f t="shared" ca="1" si="2"/>
        <v>6564888.9456883604</v>
      </c>
      <c r="J13" s="112">
        <f t="shared" ca="1" si="3"/>
        <v>19144266.461084489</v>
      </c>
      <c r="K13" s="28">
        <f t="shared" ca="1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ca="1" si="5">SUM(G9:G16)</f>
        <v>256640866.58560237</v>
      </c>
      <c r="H17" s="115">
        <f t="shared" ca="1" si="5"/>
        <v>275118239.12020969</v>
      </c>
      <c r="I17" s="115">
        <f t="shared" ca="1" si="5"/>
        <v>281588584.54061043</v>
      </c>
      <c r="J17" s="115">
        <f ca="1">SUM(J9:J16)</f>
        <v>813347690.24642253</v>
      </c>
      <c r="K17" s="28">
        <f t="shared" ca="1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 ca="1">SUM(D17,G17)</f>
        <v>4557581238.5856028</v>
      </c>
      <c r="H18" s="154">
        <f ca="1">G18+H17</f>
        <v>4832699477.7058125</v>
      </c>
      <c r="I18" s="154">
        <f ca="1"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ca="1" si="6">E9</f>
        <v>1.3282089954823606E-2</v>
      </c>
      <c r="F21" s="38"/>
      <c r="G21" s="112">
        <f t="shared" ref="G21" ca="1" si="7">+D21*E21</f>
        <v>20137.223228918527</v>
      </c>
      <c r="H21" s="112">
        <f ca="1">+(D21+G21)*E21+G21</f>
        <v>40541.910868203915</v>
      </c>
      <c r="I21" s="112">
        <f ca="1">+(+D21+G21+H21)*(+E21)+H21</f>
        <v>61485.07981458123</v>
      </c>
      <c r="J21" s="112">
        <f ca="1"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ca="1" si="6"/>
        <v>5.2166066813214673E-2</v>
      </c>
      <c r="F23" s="38"/>
      <c r="G23" s="112">
        <f t="shared" ca="1" si="8"/>
        <v>5213436.3571415367</v>
      </c>
      <c r="H23" s="112">
        <f t="shared" ca="1" si="9"/>
        <v>10698837.183616161</v>
      </c>
      <c r="I23" s="112">
        <f t="shared" ca="1" si="10"/>
        <v>16742354.265435012</v>
      </c>
      <c r="J23" s="112">
        <f t="shared" ca="1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ca="1" si="6"/>
        <v>0.15105801563149757</v>
      </c>
      <c r="F24" s="38"/>
      <c r="G24" s="112">
        <f t="shared" ca="1" si="8"/>
        <v>3268540.0821549683</v>
      </c>
      <c r="H24" s="112">
        <f t="shared" ca="1" si="9"/>
        <v>7030819.343132278</v>
      </c>
      <c r="I24" s="112">
        <f t="shared" ca="1" si="10"/>
        <v>11855160.222346699</v>
      </c>
      <c r="J24" s="112">
        <f t="shared" ca="1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ca="1" si="6"/>
        <v>2.903099810414056E-2</v>
      </c>
      <c r="F25" s="38"/>
      <c r="G25" s="112">
        <f t="shared" ca="1" si="8"/>
        <v>332614.55867851619</v>
      </c>
      <c r="H25" s="112">
        <f t="shared" ca="1" si="9"/>
        <v>674885.24997943803</v>
      </c>
      <c r="I25" s="112">
        <f t="shared" ca="1" si="10"/>
        <v>1036748.5336930254</v>
      </c>
      <c r="J25" s="112">
        <f t="shared" ca="1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ca="1" si="12">SUM(G21:G29)</f>
        <v>22417797.021402687</v>
      </c>
      <c r="H30" s="115">
        <f t="shared" ca="1" si="12"/>
        <v>35035994.944951385</v>
      </c>
      <c r="I30" s="115">
        <f t="shared" ca="1" si="12"/>
        <v>50582146.211936831</v>
      </c>
      <c r="J30" s="115">
        <f ca="1">SUM(J21:J29)</f>
        <v>108035938.1782909</v>
      </c>
    </row>
    <row r="31" spans="1:14">
      <c r="D31" s="179">
        <f>SUM('[3]RJA-4_Gas_Attrition'!$C$29:$C$30)</f>
        <v>143075300.46999991</v>
      </c>
      <c r="G31" s="38">
        <f ca="1">G30/G17</f>
        <v>8.7350846806485694E-2</v>
      </c>
      <c r="H31" s="38">
        <f ca="1">H30/H17</f>
        <v>0.12734886300883461</v>
      </c>
      <c r="I31" s="38">
        <f ca="1"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 ca="1">D34+G21</f>
        <v>1536255.7932289185</v>
      </c>
      <c r="H34" s="112">
        <f ca="1">D34+H21</f>
        <v>1556660.4808682038</v>
      </c>
      <c r="I34" s="112">
        <f ca="1">D34+I21</f>
        <v>1577603.649814581</v>
      </c>
      <c r="J34" s="112">
        <f ca="1"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ca="1" si="14"/>
        <v>105152662.67084308</v>
      </c>
      <c r="H36" s="112">
        <f t="shared" ca="1" si="15"/>
        <v>110638063.4973177</v>
      </c>
      <c r="I36" s="112">
        <f t="shared" ca="1" si="16"/>
        <v>116681580.57913655</v>
      </c>
      <c r="J36" s="112">
        <f t="shared" ca="1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ca="1" si="14"/>
        <v>24906187.501862202</v>
      </c>
      <c r="H37" s="112">
        <f t="shared" ca="1" si="15"/>
        <v>28668466.762839511</v>
      </c>
      <c r="I37" s="112">
        <f t="shared" ca="1" si="16"/>
        <v>33492807.642053932</v>
      </c>
      <c r="J37" s="112">
        <f t="shared" ca="1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ca="1" si="14"/>
        <v>11789835.47424452</v>
      </c>
      <c r="H38" s="112">
        <f t="shared" ca="1" si="15"/>
        <v>12132106.165545441</v>
      </c>
      <c r="I38" s="112">
        <f t="shared" ca="1" si="16"/>
        <v>12493969.449259028</v>
      </c>
      <c r="J38" s="112">
        <f t="shared" ca="1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 ca="1">SUM(G34:G42)</f>
        <v>156968010.24037746</v>
      </c>
      <c r="H43" s="115">
        <f t="shared" ref="H43" ca="1" si="21">SUM(H34:H42)</f>
        <v>169586208.16392615</v>
      </c>
      <c r="I43" s="115">
        <f ca="1">SUM(I34:I42)</f>
        <v>185132359.43091157</v>
      </c>
      <c r="J43" s="115">
        <f ca="1"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 ca="1">SUM($D$34:$D$38)+G30</f>
        <v>156968010.24037746</v>
      </c>
      <c r="H44" s="154">
        <f t="shared" ref="H44:I44" ca="1" si="22">SUM($D$34:$D$38)+H30</f>
        <v>169586208.16392615</v>
      </c>
      <c r="I44" s="154">
        <f t="shared" ca="1" si="22"/>
        <v>185132359.4309116</v>
      </c>
      <c r="J44" s="154">
        <f ca="1"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 ca="1">D47-G34</f>
        <v>-35413388.066458687</v>
      </c>
      <c r="H47" s="112">
        <f ca="1">G47-H34</f>
        <v>-36970048.547326893</v>
      </c>
      <c r="I47" s="112">
        <f ca="1"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ca="1" si="23"/>
        <v>-1572049415.9216294</v>
      </c>
      <c r="H49" s="112">
        <f t="shared" ref="H49:I49" ca="1" si="25">G49-H36</f>
        <v>-1682687479.4189472</v>
      </c>
      <c r="I49" s="112">
        <f t="shared" ca="1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ca="1" si="23"/>
        <v>-74977232.22016196</v>
      </c>
      <c r="H50" s="112">
        <f t="shared" ref="H50:I50" ca="1" si="26">G50-H37</f>
        <v>-103645698.98300147</v>
      </c>
      <c r="I50" s="112">
        <f t="shared" ca="1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ca="1" si="23"/>
        <v>-75412076.46867086</v>
      </c>
      <c r="H51" s="112">
        <f t="shared" ref="H51:I51" ca="1" si="27">G51-H38</f>
        <v>-87544182.634216309</v>
      </c>
      <c r="I51" s="112">
        <f t="shared" ca="1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 ca="1">SUM(G47:G55)</f>
        <v>-1779662786.0412292</v>
      </c>
      <c r="H56" s="112">
        <f t="shared" ref="H56:I56" ca="1" si="29">SUM(H47:H55)</f>
        <v>-1946632814.5814338</v>
      </c>
      <c r="I56" s="112">
        <f t="shared" ca="1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 ca="1">$D$56-G43</f>
        <v>-1782278965.6649513</v>
      </c>
      <c r="H57" s="154">
        <f ca="1">G57-H43</f>
        <v>-1951865173.8288774</v>
      </c>
      <c r="I57" s="154">
        <f ca="1"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 ca="1">'gas tax depr'!C12</f>
        <v>34402.729553758414</v>
      </c>
      <c r="H59" s="145">
        <f ca="1">'gas tax depr'!D12</f>
        <v>101087.21760867143</v>
      </c>
      <c r="I59" s="145">
        <f ca="1">'gas tax depr'!E12</f>
        <v>163685.0738543513</v>
      </c>
      <c r="J59" s="112">
        <f ca="1"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 ca="1">'gas tax depr'!C23</f>
        <v>7273119.5182587868</v>
      </c>
      <c r="H61" s="145">
        <f ca="1">'gas tax depr'!D23</f>
        <v>21653769.504271485</v>
      </c>
      <c r="I61" s="145">
        <f ca="1">'gas tax depr'!E23</f>
        <v>35733393.230566308</v>
      </c>
      <c r="J61" s="112">
        <f t="shared" ca="1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 ca="1">'gas tax depr'!C56</f>
        <v>2960251.077577603</v>
      </c>
      <c r="H62" s="145">
        <f ca="1">'gas tax depr'!D56</f>
        <v>9327922.8862826824</v>
      </c>
      <c r="I62" s="145">
        <f ca="1">'gas tax depr'!E56</f>
        <v>16657482.562603381</v>
      </c>
      <c r="J62" s="112">
        <f t="shared" ca="1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 ca="1">'gas tax depr'!C80</f>
        <v>885936.71000084176</v>
      </c>
      <c r="H63" s="145">
        <f ca="1">'gas tax depr'!D80</f>
        <v>2429962.1471606446</v>
      </c>
      <c r="I63" s="145">
        <f ca="1">'gas tax depr'!E80</f>
        <v>3259535.2848124709</v>
      </c>
      <c r="J63" s="112">
        <f t="shared" ca="1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ca="1" si="31">SUM(G59:G67)</f>
        <v>18196998.693701804</v>
      </c>
      <c r="H68" s="115">
        <f t="shared" ca="1" si="31"/>
        <v>53800647.645459428</v>
      </c>
      <c r="I68" s="115">
        <f t="shared" ca="1" si="31"/>
        <v>86047794.470943525</v>
      </c>
      <c r="J68" s="115">
        <f ca="1">SUM(J59:J67)</f>
        <v>158045440.81010479</v>
      </c>
    </row>
    <row r="69" spans="1:10">
      <c r="G69" s="154">
        <f ca="1">'gas tax depr'!C88-G68</f>
        <v>0</v>
      </c>
      <c r="H69" s="154">
        <f ca="1">'gas tax depr'!D88-H68</f>
        <v>0</v>
      </c>
      <c r="I69" s="154">
        <f ca="1"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 ca="1">(G59-G21)*0.21</f>
        <v>2995.7563282163765</v>
      </c>
      <c r="H71" s="112">
        <f t="shared" ref="H71:I71" ca="1" si="32">(H59-H21)*0.21</f>
        <v>12714.514415498177</v>
      </c>
      <c r="I71" s="112">
        <f t="shared" ca="1" si="32"/>
        <v>21461.998748351714</v>
      </c>
      <c r="J71" s="112">
        <f ca="1"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ca="1" si="35">(G61-G23)*0.21</f>
        <v>432533.46383462253</v>
      </c>
      <c r="H73" s="112">
        <f t="shared" ca="1" si="35"/>
        <v>2300535.7873376179</v>
      </c>
      <c r="I73" s="112">
        <f t="shared" ca="1" si="35"/>
        <v>3988118.1826775726</v>
      </c>
      <c r="J73" s="112">
        <f t="shared" ca="1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ca="1" si="36">(G62-G24)*0.21</f>
        <v>-64740.690961246699</v>
      </c>
      <c r="H74" s="112">
        <f t="shared" ca="1" si="36"/>
        <v>482391.74406158493</v>
      </c>
      <c r="I74" s="112">
        <f t="shared" ca="1" si="36"/>
        <v>1008487.6914539031</v>
      </c>
      <c r="J74" s="112">
        <f t="shared" ca="1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ca="1" si="37">(G63-G25)*0.21</f>
        <v>116197.65177768837</v>
      </c>
      <c r="H75" s="112">
        <f t="shared" ca="1" si="37"/>
        <v>368566.14840805338</v>
      </c>
      <c r="I75" s="112">
        <f t="shared" ca="1" si="37"/>
        <v>466785.21773508354</v>
      </c>
      <c r="J75" s="112">
        <f t="shared" ca="1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ca="1" si="42">SUM(G71:G79)</f>
        <v>-336969.92783561151</v>
      </c>
      <c r="H80" s="115">
        <f t="shared" ca="1" si="42"/>
        <v>4489974.7880882639</v>
      </c>
      <c r="I80" s="115">
        <f t="shared" ca="1" si="42"/>
        <v>7997183.855372984</v>
      </c>
      <c r="J80" s="115">
        <f ca="1">SUM(J71:J79)</f>
        <v>12150188.715625634</v>
      </c>
    </row>
    <row r="81" spans="1:10">
      <c r="G81" s="154">
        <f ca="1">(G68-G30)*0.21</f>
        <v>-886367.64881718543</v>
      </c>
      <c r="H81" s="154">
        <f t="shared" ref="H81:I81" ca="1" si="43">(H68-H30)*0.21</f>
        <v>3940577.0671066889</v>
      </c>
      <c r="I81" s="154">
        <f t="shared" ca="1" si="43"/>
        <v>7447786.1343914056</v>
      </c>
      <c r="J81" s="154">
        <f ca="1"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ca="1" si="44">-G71</f>
        <v>-2995.7563282163765</v>
      </c>
      <c r="H83" s="112">
        <f t="shared" ref="H83:I91" ca="1" si="45">G83-H71</f>
        <v>-15710.270743714555</v>
      </c>
      <c r="I83" s="112">
        <f t="shared" ca="1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ca="1" si="44"/>
        <v>-432533.46383462253</v>
      </c>
      <c r="H85" s="112">
        <f t="shared" ca="1" si="45"/>
        <v>-2733069.2511722404</v>
      </c>
      <c r="I85" s="112">
        <f t="shared" ca="1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ca="1" si="44"/>
        <v>64740.690961246699</v>
      </c>
      <c r="H86" s="112">
        <f t="shared" ca="1" si="45"/>
        <v>-417651.05310033821</v>
      </c>
      <c r="I86" s="112">
        <f t="shared" ca="1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ca="1" si="44"/>
        <v>-116197.65177768837</v>
      </c>
      <c r="H87" s="112">
        <f t="shared" ca="1" si="45"/>
        <v>-484763.80018574174</v>
      </c>
      <c r="I87" s="112">
        <f t="shared" ca="1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ca="1" si="46">SUM(G83:G91)</f>
        <v>336969.92783561151</v>
      </c>
      <c r="H92" s="115">
        <f t="shared" ca="1" si="46"/>
        <v>-4153004.8602526519</v>
      </c>
      <c r="I92" s="115">
        <f t="shared" ca="1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'gas activity'!$G$9</f>
        <v>917406.12143355771</v>
      </c>
      <c r="C9" s="138">
        <f ca="1">$B$9*C4</f>
        <v>34402.729553758414</v>
      </c>
      <c r="D9" s="138">
        <f ca="1">$B$9*D4</f>
        <v>66227.547906288528</v>
      </c>
      <c r="E9" s="138">
        <f ca="1">$B$9*E4</f>
        <v>61255.206728118646</v>
      </c>
      <c r="F9" s="139">
        <f ca="1">SUM(C9:E9)</f>
        <v>161885.48418816557</v>
      </c>
      <c r="I9" s="135"/>
    </row>
    <row r="10" spans="1:11">
      <c r="A10" s="21">
        <v>2020</v>
      </c>
      <c r="B10" s="5">
        <f ca="1">'gas activity'!$H$9</f>
        <v>929591.19206354406</v>
      </c>
      <c r="D10" s="19">
        <f ca="1">$B$10*D5</f>
        <v>34859.669702382904</v>
      </c>
      <c r="E10" s="19">
        <f ca="1">$B$10*E5</f>
        <v>67107.188155067255</v>
      </c>
      <c r="F10" s="19">
        <f ca="1">SUM(D10:E10)</f>
        <v>101966.85785745016</v>
      </c>
      <c r="I10" s="135"/>
    </row>
    <row r="11" spans="1:11">
      <c r="A11" s="21">
        <v>2021</v>
      </c>
      <c r="B11" s="5">
        <f ca="1">'gas activity'!$I$9</f>
        <v>941938.1058977436</v>
      </c>
      <c r="D11" s="19"/>
      <c r="E11" s="19">
        <f ca="1">$B$11*E6</f>
        <v>35322.678971165384</v>
      </c>
      <c r="F11" s="19">
        <f ca="1">SUM(D11:E11)</f>
        <v>35322.678971165384</v>
      </c>
      <c r="I11" s="135"/>
    </row>
    <row r="12" spans="1:11" ht="15.75" thickBot="1">
      <c r="B12" s="140">
        <f t="shared" ref="B12:F12" ca="1" si="0">SUM(B9:B11)</f>
        <v>2788935.4193948456</v>
      </c>
      <c r="C12" s="140">
        <f t="shared" ca="1" si="0"/>
        <v>34402.729553758414</v>
      </c>
      <c r="D12" s="140">
        <f t="shared" ca="1" si="0"/>
        <v>101087.21760867143</v>
      </c>
      <c r="E12" s="140">
        <f t="shared" ca="1" si="0"/>
        <v>163685.0738543513</v>
      </c>
      <c r="F12" s="141">
        <f t="shared" ca="1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'gas activity'!$G$11</f>
        <v>193949853.82023433</v>
      </c>
      <c r="C20" s="138">
        <f ca="1">$B$20*C15</f>
        <v>7273119.5182587868</v>
      </c>
      <c r="D20" s="138">
        <f ca="1">$B$20*D15</f>
        <v>14001239.947282717</v>
      </c>
      <c r="E20" s="138">
        <f ca="1">$B$20*E15</f>
        <v>12950031.739577046</v>
      </c>
      <c r="F20" s="139">
        <f ca="1">SUM(C20:E20)</f>
        <v>34224391.205118552</v>
      </c>
      <c r="I20" s="136"/>
      <c r="K20" s="142"/>
    </row>
    <row r="21" spans="1:11">
      <c r="A21" s="21">
        <v>2020</v>
      </c>
      <c r="B21" s="5">
        <f ca="1">'gas activity'!$H$11</f>
        <v>204067454.85303387</v>
      </c>
      <c r="D21" s="19">
        <f ca="1">$B$21*D16</f>
        <v>7652529.5569887701</v>
      </c>
      <c r="E21" s="19">
        <f ca="1">$B$21*E16</f>
        <v>14731629.565840516</v>
      </c>
      <c r="F21" s="19">
        <f ca="1">SUM(D21:E21)</f>
        <v>22384159.122829288</v>
      </c>
      <c r="I21" s="136"/>
      <c r="K21" s="142"/>
    </row>
    <row r="22" spans="1:11">
      <c r="A22" s="21">
        <v>2021</v>
      </c>
      <c r="B22" s="5">
        <f ca="1">'gas activity'!$I$11</f>
        <v>214712851.33729991</v>
      </c>
      <c r="D22" s="19"/>
      <c r="E22" s="19">
        <f ca="1">$B$22*E17</f>
        <v>8051731.925148746</v>
      </c>
      <c r="F22" s="19">
        <f ca="1">SUM(D22:E22)</f>
        <v>8051731.925148746</v>
      </c>
      <c r="I22" s="136"/>
      <c r="K22" s="142"/>
    </row>
    <row r="23" spans="1:11" ht="15.75" thickBot="1">
      <c r="B23" s="140">
        <f t="shared" ref="B23:F23" ca="1" si="1">SUM(B20:B22)</f>
        <v>612730160.01056814</v>
      </c>
      <c r="C23" s="140">
        <f t="shared" ca="1" si="1"/>
        <v>7273119.5182587868</v>
      </c>
      <c r="D23" s="140">
        <f t="shared" ca="1" si="1"/>
        <v>21653769.504271485</v>
      </c>
      <c r="E23" s="140">
        <f t="shared" ca="1" si="1"/>
        <v>35733393.230566308</v>
      </c>
      <c r="F23" s="141">
        <f t="shared" ca="1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 ca="1">'gas activity'!$G$12</f>
        <v>17761506.46546562</v>
      </c>
      <c r="C53" s="138">
        <f ca="1">$B$53*C48</f>
        <v>2960251.077577603</v>
      </c>
      <c r="D53" s="138">
        <f ca="1">$B$53*D48</f>
        <v>5920502.1551552061</v>
      </c>
      <c r="E53" s="138">
        <f ca="1">$B$53*E48</f>
        <v>5920502.1551552061</v>
      </c>
      <c r="F53" s="139">
        <f ca="1">SUM(C53:E53)</f>
        <v>14801255.387888016</v>
      </c>
    </row>
    <row r="54" spans="1:9">
      <c r="A54" s="21">
        <f>$A10</f>
        <v>2020</v>
      </c>
      <c r="B54" s="19">
        <f ca="1">'gas activity'!$H$12</f>
        <v>20444524.386764865</v>
      </c>
      <c r="D54" s="19">
        <f ca="1">$B$54*D49</f>
        <v>3407420.7311274773</v>
      </c>
      <c r="E54" s="19">
        <f ca="1">$B$54*E49</f>
        <v>6814841.4622549545</v>
      </c>
      <c r="F54" s="139">
        <f ca="1">SUM(C54:E54)</f>
        <v>10222262.193382431</v>
      </c>
    </row>
    <row r="55" spans="1:9">
      <c r="A55" s="21">
        <f>$A11</f>
        <v>2021</v>
      </c>
      <c r="B55" s="19">
        <f ca="1">'gas activity'!$I$12</f>
        <v>23532833.671159327</v>
      </c>
      <c r="D55" s="19"/>
      <c r="E55" s="19">
        <f ca="1">$B$55*E50</f>
        <v>3922138.9451932209</v>
      </c>
      <c r="F55" s="139">
        <f ca="1">SUM(C55:E55)</f>
        <v>3922138.9451932209</v>
      </c>
    </row>
    <row r="56" spans="1:9" ht="15.75" thickBot="1">
      <c r="B56" s="141">
        <f t="shared" ref="B56:F56" ca="1" si="5">SUM(B53:B55)</f>
        <v>61738864.523389816</v>
      </c>
      <c r="C56" s="141">
        <f t="shared" ca="1" si="5"/>
        <v>2960251.077577603</v>
      </c>
      <c r="D56" s="141">
        <f t="shared" ca="1" si="5"/>
        <v>9327922.8862826824</v>
      </c>
      <c r="E56" s="141">
        <f t="shared" ca="1" si="5"/>
        <v>16657482.562603381</v>
      </c>
      <c r="F56" s="141">
        <f t="shared" ca="1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 ca="1">'gas activity'!$G$13</f>
        <v>6199697.0608876264</v>
      </c>
      <c r="C77" s="138">
        <f ca="1">$B$77*C70</f>
        <v>885936.71000084176</v>
      </c>
      <c r="D77" s="138">
        <f ca="1">$B$77*D70</f>
        <v>1518305.8102113798</v>
      </c>
      <c r="E77" s="138">
        <f ca="1">$B$77*E70</f>
        <v>759028.91116447211</v>
      </c>
      <c r="F77" s="138">
        <f ca="1">SUM(C77:E77)</f>
        <v>3163271.4313766938</v>
      </c>
    </row>
    <row r="78" spans="1:8" outlineLevel="1">
      <c r="A78" s="21">
        <f>$A10</f>
        <v>2020</v>
      </c>
      <c r="B78" s="138">
        <f ca="1">'gas activity'!$H$13</f>
        <v>6379680.4545085011</v>
      </c>
      <c r="D78" s="19">
        <f ca="1">$B$78*D71</f>
        <v>911656.33694926475</v>
      </c>
      <c r="E78" s="19">
        <f ca="1">$B$78*E71</f>
        <v>1562383.7433091321</v>
      </c>
      <c r="F78" s="19">
        <f ca="1">SUM(D78:E78)</f>
        <v>2474040.0802583969</v>
      </c>
    </row>
    <row r="79" spans="1:8" outlineLevel="1">
      <c r="A79" s="21">
        <f>$A11</f>
        <v>2021</v>
      </c>
      <c r="B79" s="138">
        <f ca="1">'gas activity'!$I$13</f>
        <v>6564888.9456883604</v>
      </c>
      <c r="D79" s="19"/>
      <c r="E79" s="19">
        <f ca="1">$B$79*E72</f>
        <v>938122.63033886673</v>
      </c>
      <c r="F79" s="19">
        <f ca="1">SUM(D79:E79)</f>
        <v>938122.63033886673</v>
      </c>
    </row>
    <row r="80" spans="1:8" ht="15.75" outlineLevel="1" thickBot="1">
      <c r="B80" s="144">
        <f t="shared" ref="B80:F80" ca="1" si="9">SUM(B77:B79)</f>
        <v>19144266.461084489</v>
      </c>
      <c r="C80" s="141">
        <f t="shared" ca="1" si="9"/>
        <v>885936.71000084176</v>
      </c>
      <c r="D80" s="141">
        <f t="shared" ca="1" si="9"/>
        <v>2429962.1471606446</v>
      </c>
      <c r="E80" s="141">
        <f t="shared" ca="1" si="9"/>
        <v>3259535.2848124709</v>
      </c>
      <c r="F80" s="141">
        <f t="shared" ca="1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ca="1" si="11">SUM(B9,B20,B31,B42,B53,B64,B77)</f>
        <v>256640866.58560237</v>
      </c>
      <c r="C85" s="177">
        <f t="shared" ca="1" si="11"/>
        <v>18196998.693701804</v>
      </c>
      <c r="D85" s="177">
        <f t="shared" ca="1" si="11"/>
        <v>33813921.244263761</v>
      </c>
      <c r="E85" s="177">
        <f t="shared" ca="1" si="11"/>
        <v>29152173.343671471</v>
      </c>
      <c r="F85" s="177">
        <f ca="1">SUM(C85:E85)</f>
        <v>81163093.281637043</v>
      </c>
    </row>
    <row r="86" spans="1:6" outlineLevel="1">
      <c r="A86" s="21">
        <f>A78</f>
        <v>2020</v>
      </c>
      <c r="B86" s="177">
        <f t="shared" ca="1" si="11"/>
        <v>275118239.12020963</v>
      </c>
      <c r="C86" s="177">
        <f t="shared" si="11"/>
        <v>0</v>
      </c>
      <c r="D86" s="177">
        <f t="shared" ca="1" si="11"/>
        <v>19986726.401195675</v>
      </c>
      <c r="E86" s="177">
        <f t="shared" ca="1" si="11"/>
        <v>37302653.210524119</v>
      </c>
      <c r="F86" s="177">
        <f ca="1">SUM(C86:E86)</f>
        <v>57289379.611719795</v>
      </c>
    </row>
    <row r="87" spans="1:6" outlineLevel="1">
      <c r="A87" s="21">
        <f>A79</f>
        <v>2021</v>
      </c>
      <c r="B87" s="177">
        <f t="shared" ca="1" si="11"/>
        <v>281588584.54061043</v>
      </c>
      <c r="C87" s="177">
        <f t="shared" si="11"/>
        <v>0</v>
      </c>
      <c r="D87" s="177">
        <f t="shared" si="11"/>
        <v>0</v>
      </c>
      <c r="E87" s="177">
        <f t="shared" ca="1" si="11"/>
        <v>19592967.916747946</v>
      </c>
      <c r="F87" s="177">
        <f ca="1">SUM(C87:E87)</f>
        <v>19592967.916747946</v>
      </c>
    </row>
    <row r="88" spans="1:6" ht="15.75" outlineLevel="1" thickBot="1">
      <c r="B88" s="178">
        <f t="shared" ref="B88:F88" ca="1" si="12">SUM(B85:B87)</f>
        <v>813347690.24642241</v>
      </c>
      <c r="C88" s="178">
        <f t="shared" ca="1" si="12"/>
        <v>18196998.693701804</v>
      </c>
      <c r="D88" s="178">
        <f t="shared" ca="1" si="12"/>
        <v>53800647.645459436</v>
      </c>
      <c r="E88" s="178">
        <f t="shared" ca="1" si="12"/>
        <v>86047794.47094354</v>
      </c>
      <c r="F88" s="178">
        <f t="shared" ca="1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 ca="1">'electric activity'!G79</f>
        <v>-3144211.384728597</v>
      </c>
      <c r="E32" s="5">
        <f ca="1">'electric activity'!H79</f>
        <v>8298869.4732469134</v>
      </c>
      <c r="F32" s="5">
        <f ca="1"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 ca="1">'electric activity'!G79</f>
        <v>-3144211.384728597</v>
      </c>
      <c r="Z32" s="5">
        <f ca="1">'electric activity'!H79</f>
        <v>8298869.4732469134</v>
      </c>
      <c r="AA32" s="5">
        <f ca="1">'electric activity'!I79</f>
        <v>16240636.644538831</v>
      </c>
    </row>
    <row r="33" spans="1:27">
      <c r="C33" s="5"/>
      <c r="D33" s="5">
        <f ca="1">SUM(D31:D32)</f>
        <v>-34912651.707696594</v>
      </c>
      <c r="E33" s="5">
        <f t="shared" ref="E33:F33" ca="1" si="11">SUM(E31:E32)</f>
        <v>-31452071.337184075</v>
      </c>
      <c r="F33" s="5">
        <f t="shared" ca="1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 ca="1">SUM(Y31:Y32)</f>
        <v>-36876094.257696591</v>
      </c>
      <c r="Z33" s="5">
        <f t="shared" ref="Z33:AA33" ca="1" si="12">SUM(Z31:Z32)</f>
        <v>-33876967.007184073</v>
      </c>
      <c r="AA33" s="5">
        <f t="shared" ca="1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 ca="1">'electric activity'!G91</f>
        <v>3144211.384728597</v>
      </c>
      <c r="E44" s="5">
        <f ca="1">'electric activity'!H91</f>
        <v>-5154658.0885183178</v>
      </c>
      <c r="F44" s="5">
        <f ca="1"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 ca="1">D44</f>
        <v>3144211.384728597</v>
      </c>
      <c r="Z44" s="5">
        <f ca="1">E44</f>
        <v>-5154658.0885183178</v>
      </c>
      <c r="AA44" s="5">
        <f ca="1">F44</f>
        <v>-21395294.733057149</v>
      </c>
    </row>
    <row r="45" spans="1:27">
      <c r="C45" s="5"/>
      <c r="D45" s="5">
        <f ca="1">SUM(D43:D44)</f>
        <v>-1322614371.6593695</v>
      </c>
      <c r="E45" s="5">
        <f t="shared" ref="E45:F45" ca="1" si="32">SUM(E43:E44)</f>
        <v>-1291162300.3221853</v>
      </c>
      <c r="F45" s="5">
        <f t="shared" ca="1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 ca="1">SUM(Y43:Y44)</f>
        <v>-1357677103.8193693</v>
      </c>
      <c r="Z45" s="5">
        <f t="shared" ref="Z45:AA45" ca="1" si="33">SUM(Z43:Z44)</f>
        <v>-1323800136.8121853</v>
      </c>
      <c r="AA45" s="5">
        <f t="shared" ca="1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 ca="1">'gas activity'!G80</f>
        <v>-336969.92783561151</v>
      </c>
      <c r="E30" s="5">
        <f ca="1">'gas activity'!H80</f>
        <v>4489974.7880882639</v>
      </c>
      <c r="F30" s="5">
        <f ca="1">'gas activity'!I80</f>
        <v>7997183.855372984</v>
      </c>
      <c r="J30" s="10"/>
    </row>
    <row r="31" spans="1:11">
      <c r="C31" s="5"/>
      <c r="D31" s="5">
        <f ca="1">SUM(D29:D30)</f>
        <v>-4162796.0256587253</v>
      </c>
      <c r="E31" s="5">
        <f t="shared" ref="E31:F31" ca="1" si="1">SUM(E29:E30)</f>
        <v>-3527192.7567216717</v>
      </c>
      <c r="F31" s="5">
        <f t="shared" ca="1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 ca="1">'gas activity'!G92</f>
        <v>336969.92783561151</v>
      </c>
      <c r="E42" s="5">
        <f ca="1">'gas activity'!H92</f>
        <v>-4153004.8602526519</v>
      </c>
      <c r="F42" s="5">
        <f ca="1">'gas activity'!I92</f>
        <v>-12150188.715625634</v>
      </c>
      <c r="J42" s="10"/>
    </row>
    <row r="43" spans="1:11">
      <c r="C43" s="5"/>
      <c r="D43" s="5">
        <f ca="1">SUM(D41:D42)</f>
        <v>-600212277.44727528</v>
      </c>
      <c r="E43" s="5">
        <f t="shared" ref="E43:F43" ca="1" si="7">SUM(E41:E42)</f>
        <v>-596685084.69055355</v>
      </c>
      <c r="F43" s="5">
        <f t="shared" ca="1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A7F6582-3016-4816-A4FD-C54340607E1B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7F2D448-9149-414A-B52D-D194FD1F20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SFree</cp:lastModifiedBy>
  <cp:revision/>
  <cp:lastPrinted>2019-06-03T22:17:53Z</cp:lastPrinted>
  <dcterms:created xsi:type="dcterms:W3CDTF">2019-04-11T17:39:59Z</dcterms:created>
  <dcterms:modified xsi:type="dcterms:W3CDTF">2019-06-21T00:04:14Z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