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6.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I9" i="24" s="1"/>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G9" i="24" l="1"/>
  <c r="N12" i="24"/>
  <c r="D22" i="10"/>
  <c r="D21" i="10"/>
  <c r="D20" i="10"/>
  <c r="D19" i="10"/>
  <c r="D18" i="10"/>
  <c r="D17" i="10"/>
  <c r="D16" i="10"/>
  <c r="D15" i="10"/>
  <c r="I11" i="24"/>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I13" i="24"/>
  <c r="I15" i="24" s="1"/>
  <c r="I19" i="24" s="1"/>
  <c r="I20" i="24"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M72" i="6"/>
  <c r="M71" i="6"/>
  <c r="P72" i="6"/>
  <c r="L72" i="6"/>
  <c r="P71" i="6"/>
  <c r="L71" i="6"/>
  <c r="H71" i="6"/>
  <c r="O72" i="6"/>
  <c r="K72" i="6"/>
  <c r="O71" i="6"/>
  <c r="K71" i="6"/>
  <c r="E38" i="6" l="1"/>
  <c r="E23" i="6" s="1"/>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71" i="6"/>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I72"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H72" i="6"/>
  <c r="P64" i="6"/>
  <c r="Q8" i="10" s="1"/>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G23" i="6" s="1"/>
  <c r="D23" i="6" s="1"/>
  <c r="E7" i="6"/>
  <c r="F6" i="10"/>
  <c r="E126" i="6"/>
  <c r="K7" i="10"/>
  <c r="J126" i="6"/>
  <c r="J138" i="6" s="1"/>
  <c r="K25" i="10" s="1"/>
  <c r="D108" i="6"/>
  <c r="Q7" i="10"/>
  <c r="P41" i="6"/>
  <c r="D122" i="6"/>
  <c r="E138" i="6"/>
  <c r="I41" i="6"/>
  <c r="J7" i="10"/>
  <c r="F8" i="10"/>
  <c r="D8" i="10" s="1"/>
  <c r="R64" i="6"/>
  <c r="D64" i="6"/>
  <c r="F11" i="10"/>
  <c r="D11" i="10" s="1"/>
  <c r="D101" i="6"/>
  <c r="R101" i="6"/>
  <c r="D38" i="6" l="1"/>
  <c r="R38" i="6"/>
  <c r="D12" i="10"/>
  <c r="G126" i="6"/>
  <c r="H6" i="10"/>
  <c r="G7" i="6"/>
  <c r="G83" i="6"/>
  <c r="K140" i="6"/>
  <c r="K83" i="6"/>
  <c r="L6" i="10"/>
  <c r="K126" i="6"/>
  <c r="K138" i="6" s="1"/>
  <c r="L25" i="10" s="1"/>
  <c r="K7" i="6"/>
  <c r="O140" i="6"/>
  <c r="O7" i="6"/>
  <c r="O126" i="6"/>
  <c r="O138" i="6" s="1"/>
  <c r="P25" i="10" s="1"/>
  <c r="P6" i="10"/>
  <c r="O83" i="6"/>
  <c r="G41" i="6"/>
  <c r="H7" i="10"/>
  <c r="L7" i="10"/>
  <c r="K41" i="6"/>
  <c r="P7" i="10"/>
  <c r="O41" i="6"/>
  <c r="I6" i="10"/>
  <c r="H126" i="6"/>
  <c r="H138" i="6" s="1"/>
  <c r="I25" i="10" s="1"/>
  <c r="H83" i="6"/>
  <c r="H140" i="6" s="1"/>
  <c r="H7" i="6"/>
  <c r="L138" i="6"/>
  <c r="M25" i="10" s="1"/>
  <c r="M6" i="10"/>
  <c r="L7" i="6"/>
  <c r="L83" i="6"/>
  <c r="L126" i="6"/>
  <c r="L140" i="6"/>
  <c r="P140" i="6"/>
  <c r="P7" i="6"/>
  <c r="P83" i="6"/>
  <c r="P126" i="6"/>
  <c r="P138" i="6" s="1"/>
  <c r="Q25" i="10" s="1"/>
  <c r="Q6" i="10"/>
  <c r="Q13" i="10" s="1"/>
  <c r="H41" i="6"/>
  <c r="I7" i="10"/>
  <c r="I13" i="10" s="1"/>
  <c r="M7" i="10"/>
  <c r="L41" i="6"/>
  <c r="J6" i="10"/>
  <c r="J13" i="10" s="1"/>
  <c r="I7" i="6"/>
  <c r="I126" i="6"/>
  <c r="I138" i="6" s="1"/>
  <c r="J25" i="10" s="1"/>
  <c r="I83" i="6"/>
  <c r="I140" i="6" s="1"/>
  <c r="M7" i="6"/>
  <c r="M126" i="6"/>
  <c r="M83" i="6"/>
  <c r="M140" i="6" s="1"/>
  <c r="N6" i="10"/>
  <c r="M138" i="6"/>
  <c r="N25" i="10" s="1"/>
  <c r="D22" i="6"/>
  <c r="R22" i="6"/>
  <c r="D21" i="6"/>
  <c r="R21" i="6"/>
  <c r="E46" i="6"/>
  <c r="D57" i="6"/>
  <c r="N7" i="10"/>
  <c r="M41" i="6"/>
  <c r="R45" i="6"/>
  <c r="D45" i="6"/>
  <c r="D81" i="6"/>
  <c r="F9" i="10"/>
  <c r="D9" i="10" s="1"/>
  <c r="F10" i="10"/>
  <c r="D10" i="10" s="1"/>
  <c r="R95" i="6"/>
  <c r="D95" i="6"/>
  <c r="F83" i="6"/>
  <c r="F7" i="6"/>
  <c r="G6" i="10"/>
  <c r="F126" i="6"/>
  <c r="F138" i="6" s="1"/>
  <c r="J83" i="6"/>
  <c r="J140" i="6" s="1"/>
  <c r="J41" i="6"/>
  <c r="J7" i="6"/>
  <c r="K6" i="10"/>
  <c r="K13" i="10" s="1"/>
  <c r="O7" i="10"/>
  <c r="N41" i="6"/>
  <c r="O6" i="10"/>
  <c r="O13" i="10" s="1"/>
  <c r="N138" i="6"/>
  <c r="O25" i="10" s="1"/>
  <c r="N83" i="6"/>
  <c r="N140" i="6"/>
  <c r="N126" i="6"/>
  <c r="N7" i="6"/>
  <c r="R131" i="6"/>
  <c r="D131" i="6"/>
  <c r="F29" i="10"/>
  <c r="D29" i="10" s="1"/>
  <c r="D136" i="6"/>
  <c r="G7" i="10"/>
  <c r="F41" i="6"/>
  <c r="D126" i="6"/>
  <c r="F25" i="10"/>
  <c r="N13" i="10" l="1"/>
  <c r="N41" i="10" s="1"/>
  <c r="M13" i="10"/>
  <c r="P13" i="10"/>
  <c r="P39" i="10" s="1"/>
  <c r="P40" i="10" s="1"/>
  <c r="L13" i="10"/>
  <c r="R126" i="6"/>
  <c r="G138" i="6"/>
  <c r="D7" i="6"/>
  <c r="R7" i="6"/>
  <c r="R23" i="6" s="1"/>
  <c r="H13" i="10"/>
  <c r="H24" i="10" s="1"/>
  <c r="D6" i="10"/>
  <c r="G13" i="10"/>
  <c r="F140" i="6"/>
  <c r="J24" i="10"/>
  <c r="J26" i="10"/>
  <c r="J28" i="10" s="1"/>
  <c r="J31" i="10" s="1"/>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24" i="10"/>
  <c r="K26" i="10"/>
  <c r="K28" i="10" s="1"/>
  <c r="K31" i="10" s="1"/>
  <c r="G25" i="10"/>
  <c r="R138" i="6"/>
  <c r="G24" i="10"/>
  <c r="G26" i="10"/>
  <c r="G28" i="10" s="1"/>
  <c r="G31" i="10" s="1"/>
  <c r="E83" i="6"/>
  <c r="F7" i="10"/>
  <c r="E41" i="6"/>
  <c r="D46" i="6"/>
  <c r="N39" i="10"/>
  <c r="N40" i="10" s="1"/>
  <c r="I24" i="10"/>
  <c r="I26" i="10"/>
  <c r="I28" i="10" s="1"/>
  <c r="I31" i="10"/>
  <c r="M26" i="10"/>
  <c r="M28" i="10" s="1"/>
  <c r="M31" i="10" s="1"/>
  <c r="M24" i="10"/>
  <c r="M37" i="10"/>
  <c r="P36" i="10"/>
  <c r="P34" i="10"/>
  <c r="P41" i="10"/>
  <c r="N35" i="10" l="1"/>
  <c r="N36" i="10"/>
  <c r="N34" i="10"/>
  <c r="N24" i="10"/>
  <c r="N26" i="10"/>
  <c r="N28" i="10" s="1"/>
  <c r="N31" i="10"/>
  <c r="N33" i="10"/>
  <c r="N37" i="10"/>
  <c r="N38" i="10"/>
  <c r="M35" i="10"/>
  <c r="M34" i="10"/>
  <c r="M36" i="10"/>
  <c r="M33" i="10"/>
  <c r="M38" i="10"/>
  <c r="M39" i="10"/>
  <c r="M40" i="10" s="1"/>
  <c r="M41" i="10"/>
  <c r="H25" i="10"/>
  <c r="D138" i="6"/>
  <c r="G140" i="6"/>
  <c r="L24" i="10"/>
  <c r="L26" i="10" s="1"/>
  <c r="L28" i="10" s="1"/>
  <c r="L31" i="10" s="1"/>
  <c r="P35" i="10"/>
  <c r="P24" i="10"/>
  <c r="P26" i="10" s="1"/>
  <c r="P28" i="10" s="1"/>
  <c r="P31" i="10" s="1"/>
  <c r="P33" i="10"/>
  <c r="P37" i="10"/>
  <c r="P38" i="10"/>
  <c r="D7" i="10"/>
  <c r="F13" i="10"/>
  <c r="D83" i="6"/>
  <c r="E140" i="6"/>
  <c r="R41" i="6"/>
  <c r="R46" i="6" s="1"/>
  <c r="R83" i="6" s="1"/>
  <c r="D41" i="6"/>
  <c r="D140" i="6" l="1"/>
  <c r="D25" i="10"/>
  <c r="H26" i="10"/>
  <c r="H28" i="10" s="1"/>
  <c r="H31" i="10" s="1"/>
  <c r="F24" i="10"/>
  <c r="D13" i="10"/>
  <c r="D24" i="10" l="1"/>
  <c r="F26" i="10"/>
  <c r="F28" i="10" l="1"/>
  <c r="D26" i="10"/>
  <c r="D28" i="10" l="1"/>
  <c r="F31" i="10"/>
  <c r="D31" i="10" l="1"/>
  <c r="F33" i="10"/>
  <c r="G33" i="10" l="1"/>
  <c r="F34" i="10"/>
  <c r="F35" i="10"/>
  <c r="F36" i="10"/>
  <c r="F38" i="10" l="1"/>
  <c r="F39" i="10"/>
  <c r="F40" i="10" s="1"/>
  <c r="F41" i="10"/>
  <c r="F37" i="10"/>
  <c r="H33" i="10"/>
  <c r="G36" i="10"/>
  <c r="G35" i="10"/>
  <c r="G34" i="10"/>
  <c r="G38" i="10" s="1"/>
  <c r="G39" i="10" s="1"/>
  <c r="G40" i="10" s="1"/>
  <c r="G37" i="10" l="1"/>
  <c r="G41" i="10"/>
  <c r="L35" i="10"/>
  <c r="I33" i="10"/>
  <c r="I35" i="10" s="1"/>
  <c r="H34" i="10"/>
  <c r="H36" i="10"/>
  <c r="H35" i="10"/>
  <c r="J33" i="10"/>
  <c r="K33" i="10" s="1"/>
  <c r="L33" i="10" s="1"/>
  <c r="L36" i="10" s="1"/>
  <c r="I36" i="10"/>
  <c r="K36" i="10"/>
  <c r="K34" i="10"/>
  <c r="L34" i="10" l="1"/>
  <c r="L37" i="10" s="1"/>
  <c r="I34" i="10"/>
  <c r="I38" i="10" s="1"/>
  <c r="L38" i="10"/>
  <c r="L39" i="10" s="1"/>
  <c r="L40" i="10" s="1"/>
  <c r="K35" i="10"/>
  <c r="K38" i="10"/>
  <c r="K41" i="10" s="1"/>
  <c r="H38" i="10"/>
  <c r="H39" i="10" s="1"/>
  <c r="H40" i="10" s="1"/>
  <c r="L41" i="10"/>
  <c r="H37" i="10"/>
  <c r="J36" i="10"/>
  <c r="J34" i="10"/>
  <c r="J35" i="10"/>
  <c r="J38" i="10" s="1"/>
  <c r="K37" i="10"/>
  <c r="I41" i="10" l="1"/>
  <c r="I39" i="10"/>
  <c r="I40" i="10" s="1"/>
  <c r="I37" i="10"/>
  <c r="H41" i="10"/>
  <c r="J39" i="10"/>
  <c r="J40" i="10" s="1"/>
  <c r="K39" i="10"/>
  <c r="K40" i="10" s="1"/>
  <c r="D40" i="10" s="1"/>
  <c r="J41" i="10"/>
  <c r="J37"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<sst xmlns="http://schemas.openxmlformats.org/spreadsheetml/2006/main" count="244" uniqueCount="193">
  <si>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</si>
  <si>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</si>
  <si>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</si>
  <si>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</si>
  <si>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</si>
  <si>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</si>
  <si>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</si>
  <si>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</si>
  <si>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</si>
  <si>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</si>
  <si>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</si>
  <si>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</si>
  <si>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</si>
  <si>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</si>
  <si>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</si>
  <si>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</si>
  <si>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</si>
  <si>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</si>
  <si>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</si>
  <si>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</si>
  <si>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</si>
  <si>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</si>
  <si>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</si>
  <si>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</si>
  <si>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</si>
  <si>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</si>
  <si>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</si>
  <si>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</si>
  <si>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</si>
  <si>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</si>
  <si>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</si>
  <si>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</si>
  <si>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</si>
  <si>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</si>
  <si>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</si>
  <si>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</si>
  <si>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</si>
  <si>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</si>
  <si>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</si>
  <si>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</si>
  <si>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</si>
  <si>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</si>
  <si>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</si>
  <si>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</si>
  <si>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</si>
  <si>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</si>
  <si>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</si>
  <si>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</si>
  <si>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</si>
  <si>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</si>
  <si>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</si>
  <si>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</si>
  <si>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</si>
  <si>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</si>
  <si>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</si>
  <si>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</si>
  <si>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</si>
  <si>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</si>
  <si>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</si>
  <si>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</si>
  <si>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</si>
  <si>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</si>
  <si>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</si>
  <si>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</si>
  <si>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</si>
  <si>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</si>
  <si>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</si>
  <si>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</si>
  <si>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</si>
  <si>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</si>
  <si>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</si>
  <si>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</si>
  <si>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</si>
  <si>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</si>
  <si>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</si>
  <si>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</si>
  <si>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</si>
  <si>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</si>
  <si>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</si>
  <si>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</si>
  <si>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</si>
  <si>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</si>
  <si>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</si>
  <si>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</si>
  <si>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</si>
  <si>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</si>
  <si>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</si>
  <si>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</si>
  <si>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</si>
  <si>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</si>
  <si>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</si>
  <si>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</si>
  <si>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</si>
  <si>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</si>
  <si>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</si>
  <si>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</si>
  <si>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</si>
  <si>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</si>
  <si>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</si>
  <si>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</si>
  <si>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</si>
  <si>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</si>
  <si>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</si>
  <si>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</si>
  <si>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</si>
  <si>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</si>
  <si>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</si>
  <si>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</si>
  <si>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</si>
  <si>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</si>
  <si>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</si>
  <si>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</si>
  <si>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</si>
  <si>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</si>
  <si>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</si>
  <si>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</si>
  <si>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</si>
  <si>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</si>
  <si>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</si>
  <si>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</si>
  <si>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</si>
  <si>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</si>
  <si>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</si>
  <si>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</si>
  <si>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</si>
  <si>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</si>
  <si>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</si>
  <si>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</si>
  <si>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</si>
  <si>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</si>
  <si>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</si>
  <si>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</si>
  <si>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</si>
  <si>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</si>
  <si>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</si>
  <si>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</si>
  <si>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</si>
  <si>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</si>
  <si>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</si>
  <si>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</si>
  <si>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</si>
  <si>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</si>
  <si>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</si>
  <si>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</si>
  <si>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</si>
  <si>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</si>
  <si>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</si>
  <si>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</si>
  <si>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</si>
  <si>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</si>
  <si>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</si>
  <si>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</si>
  <si>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</si>
  <si>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</si>
  <si>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</si>
  <si>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</si>
  <si>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</si>
  <si>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</si>
  <si>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</si>
  <si>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</si>
  <si>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</si>
  <si>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</si>
  <si>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</si>
  <si>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</si>
  <si>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</si>
  <si>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</si>
  <si>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</si>
  <si>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</si>
  <si>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</si>
  <si>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</si>
  <si>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</si>
  <si>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</si>
  <si>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</si>
  <si>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</si>
  <si>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</si>
  <si>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</si>
  <si>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</si>
  <si>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</si>
  <si>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</si>
  <si>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</si>
  <si>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</si>
  <si>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</si>
  <si>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</si>
  <si>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</si>
  <si>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</si>
  <si>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</si>
  <si>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</si>
  <si>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</si>
  <si>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</si>
  <si>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</si>
  <si>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Total through June</t>
  </si>
  <si>
    <t>Other Gas Purchases and Sales</t>
  </si>
  <si>
    <t xml:space="preserve"> Other Gas Purchases and Sales Subtotal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</si>
</sst>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164" fontId="2" fillId="0" borderId="4" xfId="0"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3" fillId="0" borderId="0" xfId="6" applyNumberFormat="1" applyFont="1" applyFill="1" applyBorder="1" applyAlignment="1">
      <alignment horizontal="right"/>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 fillId="0" borderId="0" xfId="0" applyNumberFormat="1" applyFont="1" applyFill="1" applyBorder="1" applyAlignment="1">
      <alignment horizontal="right"/>
    </xf>
    <xf numFmtId="5" fontId="3" fillId="0" borderId="0" xfId="0"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0"/>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1">
        <v>43496</v>
      </c>
      <c r="D2" s="91">
        <f>EOMONTH(C2,1)</f>
        <v>43524</v>
      </c>
      <c r="E2" s="91">
        <f t="shared" ref="E2:N2" si="0">EOMONTH(D2,1)</f>
        <v>43555</v>
      </c>
      <c r="F2" s="91">
        <f t="shared" si="0"/>
        <v>43585</v>
      </c>
      <c r="G2" s="91">
        <f t="shared" si="0"/>
        <v>43616</v>
      </c>
      <c r="H2" s="91">
        <f t="shared" si="0"/>
        <v>43646</v>
      </c>
      <c r="I2" s="91">
        <f t="shared" si="0"/>
        <v>43677</v>
      </c>
      <c r="J2" s="91">
        <f t="shared" si="0"/>
        <v>43708</v>
      </c>
      <c r="K2" s="91">
        <f t="shared" si="0"/>
        <v>43738</v>
      </c>
      <c r="L2" s="91">
        <f t="shared" si="0"/>
        <v>43769</v>
      </c>
      <c r="M2" s="91">
        <f t="shared" si="0"/>
        <v>43799</v>
      </c>
      <c r="N2" s="91">
        <f t="shared" si="0"/>
        <v>43830</v>
      </c>
    </row>
    <row r="3" spans="1:15">
      <c r="A3" s="26" t="s">
        <v>161</v>
      </c>
      <c r="C3" s="222"/>
      <c r="D3" s="222"/>
      <c r="E3" s="222"/>
      <c r="F3" s="222"/>
      <c r="G3" s="222"/>
      <c r="H3" s="222"/>
      <c r="I3" s="222"/>
      <c r="J3" s="222"/>
      <c r="K3" s="222"/>
      <c r="L3" s="222"/>
      <c r="M3" s="222"/>
      <c r="N3" s="222"/>
    </row>
    <row r="4" spans="1:15">
      <c r="B4" s="79" t="s">
        <v>11</v>
      </c>
      <c r="C4" s="81"/>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168</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7" t="s">
        <v>184</v>
      </c>
    </row>
    <row r="13" spans="1:15">
      <c r="A13" s="226">
        <f>'WA Summary '!A27</f>
        <v>21</v>
      </c>
      <c r="B13" s="2" t="s">
        <v>71</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154</v>
      </c>
      <c r="C17" s="222"/>
      <c r="D17" s="222"/>
      <c r="E17" s="222"/>
      <c r="F17" s="222"/>
      <c r="G17" s="222"/>
      <c r="H17" s="222"/>
      <c r="I17" s="222"/>
      <c r="J17" s="222"/>
      <c r="K17" s="222"/>
      <c r="L17" s="222"/>
      <c r="M17" s="222"/>
      <c r="N17" s="222"/>
    </row>
    <row r="18" spans="1:16">
      <c r="B18" s="53" t="s">
        <v>12</v>
      </c>
      <c r="C18" s="82"/>
      <c r="D18" s="82"/>
      <c r="E18" s="82"/>
      <c r="F18" s="82"/>
      <c r="G18" s="82"/>
      <c r="H18" s="82"/>
      <c r="I18" s="82"/>
      <c r="J18" s="82"/>
      <c r="K18" s="82"/>
      <c r="L18" s="82"/>
      <c r="M18" s="82"/>
      <c r="N18" s="82"/>
    </row>
    <row r="19" spans="1:16">
      <c r="A19" s="69">
        <f>'WA Monthly'!A8</f>
        <v>2</v>
      </c>
      <c r="B19" s="2" t="s">
        <v>107</v>
      </c>
      <c r="C19" s="82">
        <v>1277784.8999999999</v>
      </c>
      <c r="D19" s="82">
        <v>1277784.8999999999</v>
      </c>
      <c r="E19" s="82">
        <v>1277784.8999999999</v>
      </c>
      <c r="F19" s="82">
        <v>1277784.8999999999</v>
      </c>
      <c r="G19" s="82">
        <v>1277784.8999999999</v>
      </c>
      <c r="H19" s="82">
        <v>1277784.8999999999</v>
      </c>
      <c r="I19" s="82"/>
      <c r="J19" s="82"/>
      <c r="K19" s="82"/>
      <c r="L19" s="82"/>
      <c r="M19" s="82"/>
      <c r="N19" s="82"/>
    </row>
    <row r="20" spans="1:16">
      <c r="A20" s="69">
        <f>'WA Monthly'!A9</f>
        <v>3</v>
      </c>
      <c r="B20" s="2" t="s">
        <v>108</v>
      </c>
      <c r="C20" s="82">
        <v>63699</v>
      </c>
      <c r="D20" s="82">
        <f>55712.62-3.62</f>
        <v>55709</v>
      </c>
      <c r="E20" s="82">
        <f>57608.21-18.21</f>
        <v>57590</v>
      </c>
      <c r="F20" s="82">
        <f>40007.9-9.9</f>
        <v>39998</v>
      </c>
      <c r="G20" s="82">
        <f>67642.99-8.99</f>
        <v>67634</v>
      </c>
      <c r="H20" s="82">
        <f>57534.67-8.67</f>
        <v>57526</v>
      </c>
      <c r="I20" s="82"/>
      <c r="J20" s="82"/>
      <c r="K20" s="82"/>
      <c r="L20" s="89"/>
      <c r="M20" s="82"/>
      <c r="N20" s="82"/>
    </row>
    <row r="21" spans="1:16">
      <c r="A21" s="69">
        <f>'WA Monthly'!A10</f>
        <v>4</v>
      </c>
      <c r="B21" s="90" t="s">
        <v>186</v>
      </c>
      <c r="C21" s="82">
        <v>152948</v>
      </c>
      <c r="D21" s="82">
        <v>152948</v>
      </c>
      <c r="E21" s="82">
        <v>152948</v>
      </c>
      <c r="F21" s="82">
        <v>152948</v>
      </c>
      <c r="G21" s="82">
        <v>152948</v>
      </c>
      <c r="H21" s="82">
        <v>152948</v>
      </c>
      <c r="I21" s="82"/>
      <c r="J21" s="82"/>
      <c r="K21" s="82"/>
      <c r="L21" s="82"/>
      <c r="M21" s="82"/>
      <c r="N21" s="82"/>
    </row>
    <row r="22" spans="1:16">
      <c r="A22" s="69">
        <f>'WA Monthly'!A11</f>
        <v>5</v>
      </c>
      <c r="B22" s="2" t="s">
        <v>109</v>
      </c>
      <c r="C22" s="82">
        <v>776465.53</v>
      </c>
      <c r="D22" s="82">
        <v>776465.53</v>
      </c>
      <c r="E22" s="82">
        <v>776465.53</v>
      </c>
      <c r="F22" s="82">
        <f>776465.53+120036.48</f>
        <v>896502.01</v>
      </c>
      <c r="G22" s="82">
        <v>776465.53</v>
      </c>
      <c r="H22" s="82">
        <v>776465.53</v>
      </c>
      <c r="I22" s="82"/>
      <c r="J22" s="82"/>
      <c r="K22" s="82"/>
      <c r="L22" s="82"/>
      <c r="M22" s="82"/>
      <c r="N22" s="82"/>
    </row>
    <row r="23" spans="1:16" ht="14.25">
      <c r="A23" s="69">
        <f>'WA Monthly'!A12</f>
        <v>6</v>
      </c>
      <c r="B23" s="3" t="s">
        <v>110</v>
      </c>
      <c r="C23" s="82">
        <v>2751195.2</v>
      </c>
      <c r="D23" s="82">
        <v>2485973.0499999998</v>
      </c>
      <c r="E23" s="82">
        <v>1358265.8</v>
      </c>
      <c r="F23" s="82">
        <v>1315483.6200000001</v>
      </c>
      <c r="G23" s="83"/>
      <c r="H23" s="83"/>
      <c r="I23" s="83"/>
      <c r="J23" s="83"/>
      <c r="K23" s="83"/>
      <c r="L23" s="83"/>
      <c r="M23" s="82"/>
      <c r="N23" s="82"/>
    </row>
    <row r="24" spans="1:16">
      <c r="A24" s="69">
        <f>'WA Monthly'!A13</f>
        <v>7</v>
      </c>
      <c r="B24" s="4" t="s">
        <v>104</v>
      </c>
      <c r="C24" s="82">
        <v>972.75</v>
      </c>
      <c r="D24" s="82">
        <v>1128.1500000000001</v>
      </c>
      <c r="E24" s="82">
        <v>1325.55</v>
      </c>
      <c r="F24" s="82">
        <v>1014.75</v>
      </c>
      <c r="G24" s="82">
        <v>699.75</v>
      </c>
      <c r="H24" s="82">
        <v>632.54999999999995</v>
      </c>
      <c r="I24" s="82"/>
      <c r="J24" s="82"/>
      <c r="K24" s="82"/>
      <c r="L24" s="82"/>
      <c r="M24" s="82"/>
      <c r="N24" s="82"/>
    </row>
    <row r="25" spans="1:16">
      <c r="A25" s="69">
        <f>'WA Monthly'!A14</f>
        <v>8</v>
      </c>
      <c r="B25" s="26" t="s">
        <v>160</v>
      </c>
      <c r="C25" s="83">
        <f>SUM(C26:C34)</f>
        <v>137300.57999999999</v>
      </c>
      <c r="D25" s="83">
        <f t="shared" ref="D25:N25" si="1">SUM(D26:D34)</f>
        <v>160032.42000000001</v>
      </c>
      <c r="E25" s="83">
        <f t="shared" si="1"/>
        <v>130122.17</v>
      </c>
      <c r="F25" s="83">
        <f t="shared" si="1"/>
        <v>164292.48000000001</v>
      </c>
      <c r="G25" s="83">
        <f t="shared" si="1"/>
        <v>134891.76999999999</v>
      </c>
      <c r="H25" s="83">
        <f t="shared" si="1"/>
        <v>155758.5</v>
      </c>
      <c r="I25" s="83">
        <f t="shared" si="1"/>
        <v>0</v>
      </c>
      <c r="J25" s="83">
        <f t="shared" si="1"/>
        <v>0</v>
      </c>
      <c r="K25" s="83">
        <f t="shared" si="1"/>
        <v>0</v>
      </c>
      <c r="L25" s="83">
        <f t="shared" si="1"/>
        <v>0</v>
      </c>
      <c r="M25" s="83">
        <f t="shared" si="1"/>
        <v>0</v>
      </c>
      <c r="N25" s="83">
        <f t="shared" si="1"/>
        <v>0</v>
      </c>
      <c r="P25" s="28"/>
    </row>
    <row r="26" spans="1:16">
      <c r="A26" s="69"/>
      <c r="B26" s="107" t="s">
        <v>156</v>
      </c>
      <c r="C26" s="82">
        <v>45091.94</v>
      </c>
      <c r="D26" s="82">
        <v>67920.259999999995</v>
      </c>
      <c r="E26" s="82">
        <v>34371.32</v>
      </c>
      <c r="F26" s="82">
        <v>39655.11</v>
      </c>
      <c r="G26" s="82">
        <v>22920.15</v>
      </c>
      <c r="H26" s="82">
        <v>6604.13</v>
      </c>
      <c r="I26" s="82"/>
      <c r="J26" s="82"/>
      <c r="K26" s="82"/>
      <c r="L26" s="82"/>
      <c r="M26" s="82"/>
      <c r="N26" s="82"/>
    </row>
    <row r="27" spans="1:16">
      <c r="A27" s="69"/>
      <c r="B27" s="107" t="s">
        <v>157</v>
      </c>
      <c r="C27" s="82">
        <v>19969.13</v>
      </c>
      <c r="D27" s="82">
        <v>29435.3</v>
      </c>
      <c r="E27" s="82">
        <v>34590.26</v>
      </c>
      <c r="F27" s="82">
        <v>33560.660000000003</v>
      </c>
      <c r="G27" s="82">
        <v>16319.03</v>
      </c>
      <c r="H27" s="82">
        <v>38805.160000000003</v>
      </c>
      <c r="I27" s="82"/>
      <c r="J27" s="82"/>
      <c r="K27" s="82"/>
      <c r="L27" s="82"/>
      <c r="M27" s="82"/>
      <c r="N27" s="82"/>
    </row>
    <row r="28" spans="1:16">
      <c r="A28" s="69"/>
      <c r="B28" s="107" t="s">
        <v>172</v>
      </c>
      <c r="C28" s="82">
        <v>0</v>
      </c>
      <c r="D28" s="82">
        <v>0</v>
      </c>
      <c r="E28" s="82">
        <v>0</v>
      </c>
      <c r="F28" s="82">
        <v>0</v>
      </c>
      <c r="G28" s="82">
        <v>492.56</v>
      </c>
      <c r="H28" s="82">
        <v>196.8</v>
      </c>
      <c r="I28" s="82"/>
      <c r="J28" s="82"/>
      <c r="K28" s="82"/>
      <c r="L28" s="82"/>
      <c r="M28" s="82"/>
      <c r="N28" s="82"/>
    </row>
    <row r="29" spans="1:16">
      <c r="A29" s="69"/>
      <c r="B29" s="107" t="s">
        <v>158</v>
      </c>
      <c r="C29" s="82">
        <v>18757.740000000002</v>
      </c>
      <c r="D29" s="82">
        <v>16042.72</v>
      </c>
      <c r="E29" s="82">
        <v>10386.41</v>
      </c>
      <c r="F29" s="82">
        <v>13493.53</v>
      </c>
      <c r="G29" s="82">
        <v>14316.55</v>
      </c>
      <c r="H29" s="82">
        <v>10954.78</v>
      </c>
      <c r="I29" s="82"/>
      <c r="J29" s="82"/>
      <c r="K29" s="82"/>
      <c r="L29" s="82"/>
      <c r="M29" s="82"/>
      <c r="N29" s="82"/>
    </row>
    <row r="30" spans="1:16">
      <c r="A30" s="69"/>
      <c r="B30" s="229" t="s">
        <v>175</v>
      </c>
      <c r="C30" s="82">
        <v>372.4</v>
      </c>
      <c r="D30" s="82">
        <v>442.15</v>
      </c>
      <c r="E30" s="82">
        <v>266.92</v>
      </c>
      <c r="F30" s="82">
        <v>1468.03</v>
      </c>
      <c r="G30" s="82">
        <v>2118.46</v>
      </c>
      <c r="H30" s="82">
        <f>9669.65+22909.7</f>
        <v>32579.35</v>
      </c>
      <c r="I30" s="82"/>
      <c r="J30" s="82"/>
      <c r="K30" s="82"/>
      <c r="L30" s="82"/>
      <c r="M30" s="82"/>
      <c r="N30" s="82"/>
    </row>
    <row r="31" spans="1:16">
      <c r="A31" s="69"/>
      <c r="B31" s="229" t="s">
        <v>176</v>
      </c>
      <c r="C31" s="82">
        <v>44025.8</v>
      </c>
      <c r="D31" s="82">
        <v>39863.53</v>
      </c>
      <c r="E31" s="82">
        <v>42093.26</v>
      </c>
      <c r="F31" s="82">
        <v>51051.61</v>
      </c>
      <c r="G31" s="82">
        <v>52272.78</v>
      </c>
      <c r="H31" s="82">
        <v>38457.279999999999</v>
      </c>
      <c r="I31" s="82"/>
      <c r="J31" s="82"/>
      <c r="K31" s="82"/>
      <c r="L31" s="82"/>
      <c r="M31" s="82"/>
      <c r="N31" s="82"/>
    </row>
    <row r="32" spans="1:16">
      <c r="A32" s="69"/>
      <c r="B32" s="107" t="s">
        <v>159</v>
      </c>
      <c r="C32" s="82">
        <v>7249.71</v>
      </c>
      <c r="D32" s="82">
        <v>4923.28</v>
      </c>
      <c r="E32" s="82">
        <v>3706.13</v>
      </c>
      <c r="F32" s="82">
        <v>4163.99</v>
      </c>
      <c r="G32" s="82">
        <v>3820.6</v>
      </c>
      <c r="H32" s="82">
        <v>3820.6</v>
      </c>
      <c r="I32" s="82"/>
      <c r="J32" s="82"/>
      <c r="K32" s="82"/>
      <c r="L32" s="82"/>
      <c r="M32" s="82"/>
      <c r="N32" s="82"/>
    </row>
    <row r="33" spans="1:14">
      <c r="A33" s="69"/>
      <c r="B33" s="229" t="s">
        <v>189</v>
      </c>
      <c r="C33" s="82">
        <f>2442.12-452.88-694.24</f>
        <v>1295</v>
      </c>
      <c r="D33" s="82">
        <f>2546.04-1144.84</f>
        <v>1401.2</v>
      </c>
      <c r="E33" s="82">
        <f>4849.2-141.33</f>
        <v>4707.87</v>
      </c>
      <c r="F33" s="82">
        <f>20972.79-753.83</f>
        <v>20218.96</v>
      </c>
      <c r="G33" s="82">
        <f>20326.23-433.97</f>
        <v>19892.259999999998</v>
      </c>
      <c r="H33" s="82">
        <f>22548.78+535.62</f>
        <v>23084.400000000001</v>
      </c>
      <c r="I33" s="82"/>
      <c r="J33" s="82"/>
      <c r="K33" s="82"/>
      <c r="L33" s="82"/>
      <c r="M33" s="82"/>
      <c r="N33" s="82"/>
    </row>
    <row r="34" spans="1:14">
      <c r="A34" s="69"/>
      <c r="B34" s="229" t="s">
        <v>177</v>
      </c>
      <c r="C34" s="82">
        <v>538.86</v>
      </c>
      <c r="D34" s="82">
        <v>3.98</v>
      </c>
      <c r="E34" s="82">
        <v>0</v>
      </c>
      <c r="F34" s="82">
        <v>680.59</v>
      </c>
      <c r="G34" s="82">
        <v>2739.38</v>
      </c>
      <c r="H34" s="82">
        <v>1256</v>
      </c>
      <c r="I34" s="82"/>
      <c r="J34" s="82"/>
      <c r="K34" s="82"/>
      <c r="L34" s="82"/>
      <c r="M34" s="82"/>
      <c r="N34" s="82"/>
    </row>
    <row r="35" spans="1:14">
      <c r="A35" s="69">
        <f>'WA Monthly'!A15</f>
        <v>9</v>
      </c>
      <c r="B35" s="87" t="s">
        <v>178</v>
      </c>
      <c r="C35" s="82">
        <v>175035.12</v>
      </c>
      <c r="D35" s="82">
        <v>112638.76</v>
      </c>
      <c r="E35" s="82">
        <v>116166.06</v>
      </c>
      <c r="F35" s="82">
        <v>88987.12</v>
      </c>
      <c r="G35" s="82">
        <v>158545.45000000001</v>
      </c>
      <c r="H35" s="82">
        <v>160694.01999999999</v>
      </c>
      <c r="I35" s="82"/>
      <c r="J35" s="82"/>
      <c r="K35" s="82"/>
      <c r="L35" s="82"/>
      <c r="M35" s="82"/>
      <c r="N35" s="82"/>
    </row>
    <row r="36" spans="1:14">
      <c r="A36" s="69">
        <f>'WA Monthly'!A16</f>
        <v>10</v>
      </c>
      <c r="B36" s="3" t="s">
        <v>162</v>
      </c>
      <c r="C36" s="82">
        <v>278635.32</v>
      </c>
      <c r="D36" s="82">
        <v>269106.84000000003</v>
      </c>
      <c r="E36" s="82">
        <v>250887.28</v>
      </c>
      <c r="F36" s="82">
        <v>301773.88</v>
      </c>
      <c r="G36" s="82">
        <v>332524.64</v>
      </c>
      <c r="H36" s="82">
        <v>204947.84</v>
      </c>
      <c r="I36" s="82"/>
      <c r="J36" s="82"/>
      <c r="K36" s="82"/>
      <c r="L36" s="82"/>
      <c r="M36" s="82"/>
      <c r="N36" s="82"/>
    </row>
    <row r="37" spans="1:14">
      <c r="A37" s="69">
        <f>'WA Monthly'!A17</f>
        <v>11</v>
      </c>
      <c r="B37" s="87" t="s">
        <v>179</v>
      </c>
      <c r="C37" s="82">
        <v>584639.31000000006</v>
      </c>
      <c r="D37" s="82">
        <v>427257.45</v>
      </c>
      <c r="E37" s="82">
        <v>466708.23</v>
      </c>
      <c r="F37" s="82">
        <v>424403.25</v>
      </c>
      <c r="G37" s="82">
        <v>265005.51</v>
      </c>
      <c r="H37" s="82">
        <v>390567</v>
      </c>
      <c r="I37" s="82"/>
      <c r="J37" s="82"/>
      <c r="K37" s="82"/>
      <c r="L37" s="82"/>
      <c r="M37" s="82"/>
      <c r="N37" s="82"/>
    </row>
    <row r="38" spans="1:14">
      <c r="A38" s="69">
        <f>'WA Monthly'!A18</f>
        <v>12</v>
      </c>
      <c r="B38" s="87" t="s">
        <v>180</v>
      </c>
      <c r="C38" s="82">
        <v>1297.3</v>
      </c>
      <c r="D38" s="82">
        <v>1363.61</v>
      </c>
      <c r="E38" s="82">
        <v>1396.76</v>
      </c>
      <c r="F38" s="82">
        <v>1286.24</v>
      </c>
      <c r="G38" s="82">
        <v>954.68</v>
      </c>
      <c r="H38" s="82">
        <v>1186.78</v>
      </c>
      <c r="I38" s="82"/>
      <c r="J38" s="82"/>
      <c r="K38" s="82"/>
      <c r="L38" s="82"/>
      <c r="M38" s="82"/>
      <c r="N38" s="82"/>
    </row>
    <row r="39" spans="1:14">
      <c r="A39" s="69">
        <f>'WA Monthly'!A19</f>
        <v>13</v>
      </c>
      <c r="B39" s="3" t="s">
        <v>105</v>
      </c>
      <c r="C39" s="82">
        <f>2414811.67+93.16+19446.61</f>
        <v>2434351.44</v>
      </c>
      <c r="D39" s="82">
        <f>2357486.54-12259.47-4643.15+6671.89</f>
        <v>2347255.81</v>
      </c>
      <c r="E39" s="82">
        <f>2401802.33+9989.73-8425.15-4266.51+34614.17</f>
        <v>2433714.5699999998</v>
      </c>
      <c r="F39" s="82">
        <f>2238861-12092.85-18612.63+20687.51+10833.95+7665.66+10760.33+7083.8+10686.6+7675.59</f>
        <v>2283548.96</v>
      </c>
      <c r="G39" s="82">
        <f>2136677.24+0.1+100.51+24737.39</f>
        <v>2161515.2400000002</v>
      </c>
      <c r="H39" s="82">
        <f>2082486.94+73.32+18182.77</f>
        <v>2100743.0299999998</v>
      </c>
      <c r="I39" s="82"/>
      <c r="J39" s="82"/>
      <c r="K39" s="82"/>
      <c r="L39" s="88"/>
      <c r="M39" s="82"/>
      <c r="N39" s="82"/>
    </row>
    <row r="40" spans="1:14">
      <c r="A40" s="69">
        <f>'WA Monthly'!A20</f>
        <v>14</v>
      </c>
      <c r="B40" s="3" t="s">
        <v>116</v>
      </c>
      <c r="C40" s="82">
        <v>1921037.05</v>
      </c>
      <c r="D40" s="82">
        <v>1708935.75</v>
      </c>
      <c r="E40" s="82">
        <v>1266883.6499999999</v>
      </c>
      <c r="F40" s="82">
        <v>2031088.45</v>
      </c>
      <c r="G40" s="82">
        <v>1632367.55</v>
      </c>
      <c r="H40" s="82">
        <v>1626458.75</v>
      </c>
      <c r="I40" s="82"/>
      <c r="J40" s="82"/>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30">
        <f>60320*(46.15-45.61)</f>
        <v>32572.799999999999</v>
      </c>
      <c r="D42" s="230">
        <f>54505*(46.15-45.61)</f>
        <v>29432.7</v>
      </c>
      <c r="E42" s="230">
        <f>29780*(46.15-45.61)</f>
        <v>16081.2</v>
      </c>
      <c r="F42" s="230">
        <f>28842*(46.15-45.61)</f>
        <v>15574.68</v>
      </c>
      <c r="G42" s="83"/>
      <c r="H42" s="83"/>
      <c r="I42" s="83"/>
      <c r="J42" s="83"/>
      <c r="K42" s="83"/>
      <c r="L42" s="83"/>
      <c r="M42" s="230"/>
      <c r="N42" s="230"/>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v>-60162.06</v>
      </c>
      <c r="G45" s="82">
        <v>-45192.84</v>
      </c>
      <c r="H45" s="82">
        <v>-61644.24</v>
      </c>
      <c r="I45" s="82"/>
      <c r="J45" s="82"/>
      <c r="K45" s="82"/>
      <c r="L45" s="82"/>
      <c r="M45" s="82"/>
      <c r="N45" s="82"/>
    </row>
    <row r="46" spans="1:14">
      <c r="A46" s="69">
        <f>'WA Monthly'!A43</f>
        <v>20</v>
      </c>
      <c r="B46" s="3" t="s">
        <v>165</v>
      </c>
      <c r="C46" s="82">
        <f>-SUM(5766+3032.44+3032.44+972.75)</f>
        <v>-12803.63</v>
      </c>
      <c r="D46" s="85">
        <f>-SUM(907.75+5208+2752.09+2752.09)</f>
        <v>-11619.93</v>
      </c>
      <c r="E46" s="82">
        <f>-SUM(5758.25+2999.03+2999.03+906.25)</f>
        <v>-12662.56</v>
      </c>
      <c r="F46" s="82">
        <f>-SUM(5580+2942.55+2942.55+959)</f>
        <v>-12424.1</v>
      </c>
      <c r="G46" s="82">
        <f>-SUM(593+5766+2861.55+2861.55)</f>
        <v>-12082.1</v>
      </c>
      <c r="H46" s="82">
        <f>-SUM(774+5580+2859.3+2859.3)</f>
        <v>-12072.6</v>
      </c>
      <c r="I46" s="82"/>
      <c r="J46" s="82"/>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f>-SUM(7607.48+7607.48+18934.16+5477.74+5477.74+5400)</f>
        <v>-50504.6</v>
      </c>
      <c r="G47" s="82">
        <f>-SUM(8345.48+8345.48+20770.96+5550.98+5550.98+5580)</f>
        <v>-54143.88</v>
      </c>
      <c r="H47" s="82">
        <f>-SUM(8225.33+8225.33+20471.92+6066.79+6066.79+5400)</f>
        <v>-54456.160000000003</v>
      </c>
      <c r="I47" s="82"/>
      <c r="J47" s="82"/>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v>0</v>
      </c>
      <c r="G50" s="142">
        <v>0</v>
      </c>
      <c r="H50" s="142">
        <v>22799</v>
      </c>
      <c r="I50" s="142"/>
      <c r="J50" s="142"/>
      <c r="K50" s="142"/>
      <c r="L50" s="142"/>
      <c r="M50" s="142"/>
      <c r="N50" s="142"/>
    </row>
    <row r="51" spans="1:14">
      <c r="A51" s="69">
        <f>'WA Monthly'!A68</f>
        <v>30</v>
      </c>
      <c r="B51" s="4" t="s">
        <v>25</v>
      </c>
      <c r="C51" s="142">
        <v>94382</v>
      </c>
      <c r="D51" s="142">
        <v>84400</v>
      </c>
      <c r="E51" s="142">
        <v>99623</v>
      </c>
      <c r="F51" s="142">
        <v>69067</v>
      </c>
      <c r="G51" s="142">
        <v>42755</v>
      </c>
      <c r="H51" s="142">
        <v>66682</v>
      </c>
      <c r="I51" s="142"/>
      <c r="J51" s="142"/>
      <c r="K51" s="142"/>
      <c r="L51" s="142"/>
      <c r="M51" s="142"/>
      <c r="N51" s="142"/>
    </row>
    <row r="52" spans="1:14">
      <c r="C52" s="82"/>
      <c r="D52" s="82"/>
      <c r="E52" s="82"/>
      <c r="F52" s="82"/>
      <c r="G52" s="82"/>
      <c r="H52" s="82"/>
      <c r="I52" s="82"/>
      <c r="J52" s="82"/>
      <c r="K52" s="82"/>
      <c r="L52" s="82"/>
      <c r="M52" s="82"/>
      <c r="N52" s="82"/>
    </row>
    <row r="53" spans="1:14">
      <c r="A53" s="26" t="s">
        <v>167</v>
      </c>
      <c r="C53" s="82"/>
      <c r="D53" s="82"/>
      <c r="E53" s="82"/>
      <c r="F53" s="82"/>
      <c r="G53" s="82"/>
      <c r="H53" s="82"/>
      <c r="I53" s="82"/>
      <c r="J53" s="82"/>
      <c r="K53" s="82"/>
      <c r="L53" s="82"/>
      <c r="M53" s="82"/>
      <c r="N53" s="82"/>
    </row>
    <row r="54" spans="1:14">
      <c r="A54" s="69">
        <v>8</v>
      </c>
      <c r="B54" s="117" t="s">
        <v>163</v>
      </c>
      <c r="C54" s="142">
        <f>547354540/1000</f>
        <v>547355</v>
      </c>
      <c r="D54" s="142">
        <f>516536325/1000</f>
        <v>516536</v>
      </c>
      <c r="E54" s="142">
        <f>544642265/1000</f>
        <v>544642</v>
      </c>
      <c r="F54" s="142">
        <f>444134378/1000</f>
        <v>444134</v>
      </c>
      <c r="G54" s="142">
        <f>407170729/1000</f>
        <v>407171</v>
      </c>
      <c r="H54" s="142">
        <f>418743394/1000</f>
        <v>418743</v>
      </c>
      <c r="I54" s="142"/>
      <c r="J54" s="142"/>
      <c r="K54" s="142"/>
      <c r="L54" s="142"/>
      <c r="M54" s="142"/>
      <c r="N54" s="142"/>
    </row>
    <row r="55" spans="1:14">
      <c r="A55" s="69">
        <v>10</v>
      </c>
      <c r="B55" s="117" t="s">
        <v>164</v>
      </c>
      <c r="C55" s="142">
        <f>304564103/1000</f>
        <v>304564</v>
      </c>
      <c r="D55" s="142">
        <f>295588877/1000</f>
        <v>295589</v>
      </c>
      <c r="E55" s="142">
        <f>262440569/1000</f>
        <v>262441</v>
      </c>
      <c r="F55" s="142">
        <f>226759106/1000</f>
        <v>226759</v>
      </c>
      <c r="G55" s="142">
        <f>245868144/1000</f>
        <v>245868</v>
      </c>
      <c r="H55" s="142">
        <f>256647990/1000</f>
        <v>256648</v>
      </c>
      <c r="I55" s="142"/>
      <c r="J55" s="142"/>
      <c r="K55" s="142"/>
      <c r="L55" s="142"/>
      <c r="M55" s="142"/>
      <c r="N55" s="142"/>
    </row>
    <row r="56" spans="1:14">
      <c r="A56" s="69">
        <v>12</v>
      </c>
      <c r="B56" s="117" t="s">
        <v>132</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9">
        <v>14</v>
      </c>
      <c r="B57" s="117" t="s">
        <v>133</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row r="193" spans="3:14">
      <c r="C193" s="82"/>
      <c r="D193" s="82"/>
      <c r="E193" s="82"/>
      <c r="F193" s="82"/>
      <c r="G193" s="82"/>
      <c r="H193" s="82"/>
      <c r="I193" s="82"/>
      <c r="J193" s="82"/>
      <c r="K193" s="82"/>
      <c r="L193" s="82"/>
      <c r="M193" s="82"/>
      <c r="N193" s="82"/>
    </row>
    <row r="194" spans="3:14">
      <c r="C194" s="82"/>
      <c r="D194" s="82"/>
      <c r="E194" s="82"/>
      <c r="F194" s="82"/>
      <c r="G194" s="82"/>
      <c r="H194" s="82"/>
      <c r="I194" s="82"/>
      <c r="J194" s="82"/>
      <c r="K194" s="82"/>
      <c r="L194" s="82"/>
      <c r="M194" s="82"/>
      <c r="N194" s="82"/>
    </row>
    <row r="195" spans="3:14">
      <c r="C195" s="82"/>
      <c r="D195" s="82"/>
      <c r="E195" s="82"/>
      <c r="F195" s="82"/>
      <c r="G195" s="82"/>
      <c r="H195" s="82"/>
      <c r="I195" s="82"/>
      <c r="J195" s="82"/>
      <c r="K195" s="82"/>
      <c r="L195" s="82"/>
      <c r="M195" s="82"/>
      <c r="N195" s="82"/>
    </row>
    <row r="196" spans="3:14">
      <c r="C196" s="82"/>
      <c r="D196" s="82"/>
      <c r="E196" s="82"/>
      <c r="F196" s="82"/>
      <c r="G196" s="82"/>
      <c r="H196" s="82"/>
      <c r="I196" s="82"/>
      <c r="J196" s="82"/>
      <c r="K196" s="82"/>
      <c r="L196" s="82"/>
      <c r="M196" s="82"/>
      <c r="N196" s="82"/>
    </row>
    <row r="197" spans="3:14">
      <c r="C197" s="82"/>
      <c r="D197" s="82"/>
      <c r="E197" s="82"/>
      <c r="F197" s="82"/>
      <c r="G197" s="82"/>
      <c r="H197" s="82"/>
      <c r="I197" s="82"/>
      <c r="J197" s="82"/>
      <c r="K197" s="82"/>
      <c r="L197" s="82"/>
      <c r="M197" s="82"/>
      <c r="N197" s="82"/>
    </row>
    <row r="198" spans="3:14">
      <c r="C198" s="82"/>
      <c r="D198" s="82"/>
      <c r="E198" s="82"/>
      <c r="F198" s="82"/>
      <c r="G198" s="82"/>
      <c r="H198" s="82"/>
      <c r="I198" s="82"/>
      <c r="J198" s="82"/>
      <c r="K198" s="82"/>
      <c r="L198" s="82"/>
      <c r="M198" s="82"/>
      <c r="N198" s="82"/>
    </row>
    <row r="199" spans="3:14">
      <c r="C199" s="82"/>
      <c r="D199" s="82"/>
      <c r="E199" s="82"/>
      <c r="F199" s="82"/>
      <c r="G199" s="82"/>
      <c r="H199" s="82"/>
      <c r="I199" s="82"/>
      <c r="J199" s="82"/>
      <c r="K199" s="82"/>
      <c r="L199" s="82"/>
      <c r="M199" s="82"/>
      <c r="N199" s="82"/>
    </row>
    <row r="200" spans="3:14">
      <c r="C200" s="82"/>
      <c r="D200" s="82"/>
      <c r="E200" s="82"/>
      <c r="F200" s="82"/>
      <c r="G200" s="82"/>
      <c r="H200" s="82"/>
      <c r="I200" s="82"/>
      <c r="J200" s="82"/>
      <c r="K200" s="82"/>
      <c r="L200" s="82"/>
      <c r="M200" s="82"/>
      <c r="N200" s="82"/>
    </row>
    <row r="201" spans="3:14">
      <c r="C201" s="82"/>
      <c r="D201" s="82"/>
      <c r="E201" s="82"/>
      <c r="F201" s="82"/>
      <c r="G201" s="82"/>
      <c r="H201" s="82"/>
      <c r="I201" s="82"/>
      <c r="J201" s="82"/>
      <c r="K201" s="82"/>
      <c r="L201" s="82"/>
      <c r="M201" s="82"/>
      <c r="N201" s="82"/>
    </row>
    <row r="202" spans="3:14">
      <c r="C202" s="82"/>
      <c r="D202" s="82"/>
      <c r="E202" s="82"/>
      <c r="F202" s="82"/>
      <c r="G202" s="82"/>
      <c r="H202" s="82"/>
      <c r="I202" s="82"/>
      <c r="J202" s="82"/>
      <c r="K202" s="82"/>
      <c r="L202" s="82"/>
      <c r="M202" s="82"/>
      <c r="N202" s="82"/>
    </row>
    <row r="203" spans="3:14">
      <c r="C203" s="82"/>
      <c r="D203" s="82"/>
      <c r="E203" s="82"/>
      <c r="F203" s="82"/>
      <c r="G203" s="82"/>
      <c r="H203" s="82"/>
      <c r="I203" s="82"/>
      <c r="J203" s="82"/>
      <c r="K203" s="82"/>
      <c r="L203" s="82"/>
      <c r="M203" s="82"/>
      <c r="N203" s="82"/>
    </row>
    <row r="204" spans="3:14">
      <c r="C204" s="82"/>
      <c r="D204" s="82"/>
      <c r="E204" s="82"/>
      <c r="F204" s="82"/>
      <c r="G204" s="82"/>
      <c r="H204" s="82"/>
      <c r="I204" s="82"/>
      <c r="J204" s="82"/>
      <c r="K204" s="82"/>
      <c r="L204" s="82"/>
      <c r="M204" s="82"/>
      <c r="N204" s="82"/>
    </row>
    <row r="205" spans="3:14">
      <c r="C205" s="82"/>
      <c r="D205" s="82"/>
      <c r="E205" s="82"/>
      <c r="F205" s="82"/>
      <c r="G205" s="82"/>
      <c r="H205" s="82"/>
      <c r="I205" s="82"/>
      <c r="J205" s="82"/>
      <c r="K205" s="82"/>
      <c r="L205" s="82"/>
      <c r="M205" s="82"/>
      <c r="N205" s="82"/>
    </row>
    <row r="206" spans="3:14">
      <c r="C206" s="82"/>
      <c r="D206" s="82"/>
      <c r="E206" s="82"/>
      <c r="F206" s="82"/>
      <c r="G206" s="82"/>
      <c r="H206" s="82"/>
      <c r="I206" s="82"/>
      <c r="J206" s="82"/>
      <c r="K206" s="82"/>
      <c r="L206" s="82"/>
      <c r="M206" s="82"/>
      <c r="N206" s="82"/>
    </row>
    <row r="207" spans="3:14">
      <c r="C207" s="82"/>
      <c r="D207" s="82"/>
      <c r="E207" s="82"/>
      <c r="F207" s="82"/>
      <c r="G207" s="82"/>
      <c r="H207" s="82"/>
      <c r="I207" s="82"/>
      <c r="J207" s="82"/>
      <c r="K207" s="82"/>
      <c r="L207" s="82"/>
      <c r="M207" s="82"/>
      <c r="N207" s="82"/>
    </row>
    <row r="208" spans="3:14">
      <c r="C208" s="82"/>
      <c r="D208" s="82"/>
      <c r="E208" s="82"/>
      <c r="F208" s="82"/>
      <c r="G208" s="82"/>
      <c r="H208" s="82"/>
      <c r="I208" s="82"/>
      <c r="J208" s="82"/>
      <c r="K208" s="82"/>
      <c r="L208" s="82"/>
      <c r="M208" s="82"/>
      <c r="N208" s="82"/>
    </row>
    <row r="209" spans="3:14">
      <c r="C209" s="82"/>
      <c r="D209" s="82"/>
      <c r="E209" s="82"/>
      <c r="F209" s="82"/>
      <c r="G209" s="82"/>
      <c r="H209" s="82"/>
      <c r="I209" s="82"/>
      <c r="J209" s="82"/>
      <c r="K209" s="82"/>
      <c r="L209" s="82"/>
      <c r="M209" s="82"/>
      <c r="N209" s="82"/>
    </row>
    <row r="210" spans="3:14">
      <c r="C210" s="82"/>
      <c r="D210" s="82"/>
      <c r="E210" s="82"/>
      <c r="F210" s="82"/>
      <c r="G210" s="82"/>
      <c r="H210" s="82"/>
      <c r="I210" s="82"/>
      <c r="J210" s="82"/>
      <c r="K210" s="82"/>
      <c r="L210" s="82"/>
      <c r="M210" s="82"/>
      <c r="N210" s="82"/>
    </row>
    <row r="211" spans="3:14">
      <c r="C211" s="82"/>
      <c r="D211" s="82"/>
      <c r="E211" s="82"/>
      <c r="F211" s="82"/>
      <c r="G211" s="82"/>
      <c r="H211" s="82"/>
      <c r="I211" s="82"/>
      <c r="J211" s="82"/>
      <c r="K211" s="82"/>
      <c r="L211" s="82"/>
      <c r="M211" s="82"/>
      <c r="N211" s="82"/>
    </row>
    <row r="212" spans="3:14">
      <c r="C212" s="82"/>
      <c r="D212" s="82"/>
      <c r="E212" s="82"/>
      <c r="F212" s="82"/>
      <c r="G212" s="82"/>
      <c r="H212" s="82"/>
      <c r="I212" s="82"/>
      <c r="J212" s="82"/>
      <c r="K212" s="82"/>
      <c r="L212" s="82"/>
      <c r="M212" s="82"/>
      <c r="N212" s="82"/>
    </row>
    <row r="213" spans="3:14">
      <c r="C213" s="82"/>
      <c r="D213" s="82"/>
      <c r="E213" s="82"/>
      <c r="F213" s="82"/>
      <c r="G213" s="82"/>
      <c r="H213" s="82"/>
      <c r="I213" s="82"/>
      <c r="J213" s="82"/>
      <c r="K213" s="82"/>
      <c r="L213" s="82"/>
      <c r="M213" s="82"/>
      <c r="N213" s="82"/>
    </row>
    <row r="214" spans="3:14">
      <c r="C214" s="82"/>
      <c r="D214" s="82"/>
      <c r="E214" s="82"/>
      <c r="F214" s="82"/>
      <c r="G214" s="82"/>
      <c r="H214" s="82"/>
      <c r="I214" s="82"/>
      <c r="J214" s="82"/>
      <c r="K214" s="82"/>
      <c r="L214" s="82"/>
      <c r="M214" s="82"/>
      <c r="N214" s="82"/>
    </row>
    <row r="215" spans="3:14">
      <c r="C215" s="82"/>
      <c r="D215" s="82"/>
      <c r="E215" s="82"/>
      <c r="F215" s="82"/>
      <c r="G215" s="82"/>
      <c r="H215" s="82"/>
      <c r="I215" s="82"/>
      <c r="J215" s="82"/>
      <c r="K215" s="82"/>
      <c r="L215" s="82"/>
      <c r="M215" s="82"/>
      <c r="N215" s="82"/>
    </row>
    <row r="216" spans="3:14">
      <c r="C216" s="82"/>
      <c r="D216" s="82"/>
      <c r="E216" s="82"/>
      <c r="F216" s="82"/>
      <c r="G216" s="82"/>
      <c r="H216" s="82"/>
      <c r="I216" s="82"/>
      <c r="J216" s="82"/>
      <c r="K216" s="82"/>
      <c r="L216" s="82"/>
      <c r="M216" s="82"/>
      <c r="N216" s="82"/>
    </row>
    <row r="217" spans="3:14">
      <c r="C217" s="82"/>
      <c r="D217" s="82"/>
      <c r="E217" s="82"/>
      <c r="F217" s="82"/>
      <c r="G217" s="82"/>
      <c r="H217" s="82"/>
      <c r="I217" s="82"/>
      <c r="J217" s="82"/>
      <c r="K217" s="82"/>
      <c r="L217" s="82"/>
      <c r="M217" s="82"/>
      <c r="N217" s="82"/>
    </row>
    <row r="218" spans="3:14">
      <c r="C218" s="82"/>
      <c r="D218" s="82"/>
      <c r="E218" s="82"/>
      <c r="F218" s="82"/>
      <c r="G218" s="82"/>
      <c r="H218" s="82"/>
      <c r="I218" s="82"/>
      <c r="J218" s="82"/>
      <c r="K218" s="82"/>
      <c r="L218" s="82"/>
      <c r="M218" s="82"/>
      <c r="N218" s="82"/>
    </row>
    <row r="219" spans="3:14">
      <c r="C219" s="82"/>
      <c r="D219" s="82"/>
      <c r="E219" s="82"/>
      <c r="F219" s="82"/>
      <c r="G219" s="82"/>
      <c r="H219" s="82"/>
      <c r="I219" s="82"/>
      <c r="J219" s="82"/>
      <c r="K219" s="82"/>
      <c r="L219" s="82"/>
      <c r="M219" s="82"/>
      <c r="N219" s="82"/>
    </row>
    <row r="220" spans="3:14">
      <c r="C220" s="82"/>
      <c r="D220" s="82"/>
      <c r="E220" s="82"/>
      <c r="F220" s="82"/>
      <c r="G220" s="82"/>
      <c r="H220" s="82"/>
      <c r="I220" s="82"/>
      <c r="J220" s="82"/>
      <c r="K220" s="82"/>
      <c r="L220" s="82"/>
      <c r="M220" s="82"/>
      <c r="N220" s="82"/>
    </row>
    <row r="221" spans="3:14">
      <c r="C221" s="82"/>
      <c r="D221" s="82"/>
      <c r="E221" s="82"/>
      <c r="F221" s="82"/>
      <c r="G221" s="82"/>
      <c r="H221" s="82"/>
      <c r="I221" s="82"/>
      <c r="J221" s="82"/>
      <c r="K221" s="82"/>
      <c r="L221" s="82"/>
      <c r="M221" s="82"/>
      <c r="N221" s="82"/>
    </row>
    <row r="222" spans="3:14">
      <c r="C222" s="82"/>
      <c r="D222" s="82"/>
      <c r="E222" s="82"/>
      <c r="F222" s="82"/>
      <c r="G222" s="82"/>
      <c r="H222" s="82"/>
      <c r="I222" s="82"/>
      <c r="J222" s="82"/>
      <c r="K222" s="82"/>
      <c r="L222" s="82"/>
      <c r="M222" s="82"/>
      <c r="N222" s="82"/>
    </row>
    <row r="223" spans="3:14">
      <c r="C223" s="82"/>
      <c r="D223" s="82"/>
      <c r="E223" s="82"/>
      <c r="F223" s="82"/>
      <c r="G223" s="82"/>
      <c r="H223" s="82"/>
      <c r="I223" s="82"/>
      <c r="J223" s="82"/>
      <c r="K223" s="82"/>
      <c r="L223" s="82"/>
      <c r="M223" s="82"/>
      <c r="N223" s="82"/>
    </row>
    <row r="224" spans="3:14">
      <c r="C224" s="82"/>
      <c r="D224" s="82"/>
      <c r="E224" s="82"/>
      <c r="F224" s="82"/>
      <c r="G224" s="82"/>
      <c r="H224" s="82"/>
      <c r="I224" s="82"/>
      <c r="J224" s="82"/>
      <c r="K224" s="82"/>
      <c r="L224" s="82"/>
      <c r="M224" s="82"/>
      <c r="N224" s="82"/>
    </row>
    <row r="225" spans="3:14">
      <c r="C225" s="82"/>
      <c r="D225" s="82"/>
      <c r="E225" s="82"/>
      <c r="F225" s="82"/>
      <c r="G225" s="82"/>
      <c r="H225" s="82"/>
      <c r="I225" s="82"/>
      <c r="J225" s="82"/>
      <c r="K225" s="82"/>
      <c r="L225" s="82"/>
      <c r="M225" s="82"/>
      <c r="N225" s="82"/>
    </row>
    <row r="226" spans="3:14">
      <c r="C226" s="82"/>
      <c r="D226" s="82"/>
      <c r="E226" s="82"/>
      <c r="F226" s="82"/>
      <c r="G226" s="82"/>
      <c r="H226" s="82"/>
      <c r="I226" s="82"/>
      <c r="J226" s="82"/>
      <c r="K226" s="82"/>
      <c r="L226" s="82"/>
      <c r="M226" s="82"/>
      <c r="N226" s="82"/>
    </row>
    <row r="227" spans="3:14">
      <c r="C227" s="82"/>
      <c r="D227" s="82"/>
      <c r="E227" s="82"/>
      <c r="F227" s="82"/>
      <c r="G227" s="82"/>
      <c r="H227" s="82"/>
      <c r="I227" s="82"/>
      <c r="J227" s="82"/>
      <c r="K227" s="82"/>
      <c r="L227" s="82"/>
      <c r="M227" s="82"/>
      <c r="N227" s="82"/>
    </row>
    <row r="228" spans="3:14">
      <c r="C228" s="82"/>
      <c r="D228" s="82"/>
      <c r="E228" s="82"/>
      <c r="F228" s="82"/>
      <c r="G228" s="82"/>
      <c r="H228" s="82"/>
      <c r="I228" s="82"/>
      <c r="J228" s="82"/>
      <c r="K228" s="82"/>
      <c r="L228" s="82"/>
      <c r="M228" s="82"/>
      <c r="N228" s="82"/>
    </row>
    <row r="229" spans="3:14">
      <c r="C229" s="82"/>
      <c r="D229" s="82"/>
      <c r="E229" s="82"/>
      <c r="F229" s="82"/>
      <c r="G229" s="82"/>
      <c r="H229" s="82"/>
      <c r="I229" s="82"/>
      <c r="J229" s="82"/>
      <c r="K229" s="82"/>
      <c r="L229" s="82"/>
      <c r="M229" s="82"/>
      <c r="N229" s="82"/>
    </row>
    <row r="230" spans="3:14">
      <c r="C230" s="82"/>
      <c r="D230" s="82"/>
      <c r="E230" s="82"/>
      <c r="F230" s="82"/>
      <c r="G230" s="82"/>
      <c r="H230" s="82"/>
      <c r="I230" s="82"/>
      <c r="J230" s="82"/>
      <c r="K230" s="82"/>
      <c r="L230" s="82"/>
      <c r="M230" s="82"/>
      <c r="N230" s="82"/>
    </row>
    <row r="231" spans="3:14">
      <c r="C231" s="82"/>
      <c r="D231" s="82"/>
      <c r="E231" s="82"/>
      <c r="F231" s="82"/>
      <c r="G231" s="82"/>
      <c r="H231" s="82"/>
      <c r="I231" s="82"/>
      <c r="J231" s="82"/>
      <c r="K231" s="82"/>
      <c r="L231" s="82"/>
      <c r="M231" s="82"/>
      <c r="N231" s="82"/>
    </row>
    <row r="232" spans="3:14">
      <c r="C232" s="82"/>
      <c r="D232" s="82"/>
      <c r="E232" s="82"/>
      <c r="F232" s="82"/>
      <c r="G232" s="82"/>
      <c r="H232" s="82"/>
      <c r="I232" s="82"/>
      <c r="J232" s="82"/>
      <c r="K232" s="82"/>
      <c r="L232" s="82"/>
      <c r="M232" s="82"/>
      <c r="N232" s="82"/>
    </row>
    <row r="233" spans="3:14">
      <c r="C233" s="82"/>
      <c r="D233" s="82"/>
      <c r="E233" s="82"/>
      <c r="F233" s="82"/>
      <c r="G233" s="82"/>
      <c r="H233" s="82"/>
      <c r="I233" s="82"/>
      <c r="J233" s="82"/>
      <c r="K233" s="82"/>
      <c r="L233" s="82"/>
      <c r="M233" s="82"/>
      <c r="N233" s="82"/>
    </row>
    <row r="234" spans="3:14">
      <c r="C234" s="82"/>
      <c r="D234" s="82"/>
      <c r="E234" s="82"/>
      <c r="F234" s="82"/>
      <c r="G234" s="82"/>
      <c r="H234" s="82"/>
      <c r="I234" s="82"/>
      <c r="J234" s="82"/>
      <c r="K234" s="82"/>
      <c r="L234" s="82"/>
      <c r="M234" s="82"/>
      <c r="N234" s="82"/>
    </row>
    <row r="235" spans="3:14">
      <c r="C235" s="82"/>
      <c r="D235" s="82"/>
      <c r="E235" s="82"/>
      <c r="F235" s="82"/>
      <c r="G235" s="82"/>
      <c r="H235" s="82"/>
      <c r="I235" s="82"/>
      <c r="J235" s="82"/>
      <c r="K235" s="82"/>
      <c r="L235" s="82"/>
      <c r="M235" s="82"/>
      <c r="N235" s="82"/>
    </row>
    <row r="236" spans="3:14">
      <c r="C236" s="82"/>
      <c r="D236" s="82"/>
      <c r="E236" s="82"/>
      <c r="F236" s="82"/>
      <c r="G236" s="82"/>
      <c r="H236" s="82"/>
      <c r="I236" s="82"/>
      <c r="J236" s="82"/>
      <c r="K236" s="82"/>
      <c r="L236" s="82"/>
      <c r="M236" s="82"/>
      <c r="N236" s="82"/>
    </row>
    <row r="237" spans="3:14">
      <c r="C237" s="82"/>
      <c r="D237" s="82"/>
      <c r="E237" s="82"/>
      <c r="F237" s="82"/>
      <c r="G237" s="82"/>
      <c r="H237" s="82"/>
      <c r="I237" s="82"/>
      <c r="J237" s="82"/>
      <c r="K237" s="82"/>
      <c r="L237" s="82"/>
      <c r="M237" s="82"/>
      <c r="N237" s="82"/>
    </row>
    <row r="238" spans="3:14">
      <c r="C238" s="82"/>
      <c r="D238" s="82"/>
      <c r="E238" s="82"/>
      <c r="F238" s="82"/>
      <c r="G238" s="82"/>
      <c r="H238" s="82"/>
      <c r="I238" s="82"/>
      <c r="J238" s="82"/>
      <c r="K238" s="82"/>
      <c r="L238" s="82"/>
      <c r="M238" s="82"/>
      <c r="N238" s="82"/>
    </row>
    <row r="239" spans="3:14">
      <c r="C239" s="82"/>
      <c r="D239" s="82"/>
      <c r="E239" s="82"/>
      <c r="F239" s="82"/>
      <c r="G239" s="82"/>
      <c r="H239" s="82"/>
      <c r="I239" s="82"/>
      <c r="J239" s="82"/>
      <c r="K239" s="82"/>
      <c r="L239" s="82"/>
      <c r="M239" s="82"/>
      <c r="N239" s="82"/>
    </row>
    <row r="240" spans="3:14">
      <c r="C240" s="82"/>
      <c r="D240" s="82"/>
      <c r="E240" s="82"/>
      <c r="F240" s="82"/>
      <c r="G240" s="82"/>
      <c r="H240" s="82"/>
      <c r="I240" s="82"/>
      <c r="J240" s="82"/>
      <c r="K240" s="82"/>
      <c r="L240" s="82"/>
      <c r="M240" s="82"/>
      <c r="N240" s="82"/>
    </row>
    <row r="241" spans="3:14">
      <c r="C241" s="82"/>
      <c r="D241" s="82"/>
      <c r="E241" s="82"/>
      <c r="F241" s="82"/>
      <c r="G241" s="82"/>
      <c r="H241" s="82"/>
      <c r="I241" s="82"/>
      <c r="J241" s="82"/>
      <c r="K241" s="82"/>
      <c r="L241" s="82"/>
      <c r="M241" s="82"/>
      <c r="N241" s="82"/>
    </row>
    <row r="242" spans="3:14">
      <c r="C242" s="82"/>
      <c r="D242" s="82"/>
      <c r="E242" s="82"/>
      <c r="F242" s="82"/>
      <c r="G242" s="82"/>
      <c r="H242" s="82"/>
      <c r="I242" s="82"/>
      <c r="J242" s="82"/>
      <c r="K242" s="82"/>
      <c r="L242" s="82"/>
      <c r="M242" s="82"/>
      <c r="N242" s="82"/>
    </row>
    <row r="243" spans="3:14">
      <c r="C243" s="82"/>
      <c r="D243" s="82"/>
      <c r="E243" s="82"/>
      <c r="F243" s="82"/>
      <c r="G243" s="82"/>
      <c r="H243" s="82"/>
      <c r="I243" s="82"/>
      <c r="J243" s="82"/>
      <c r="K243" s="82"/>
      <c r="L243" s="82"/>
      <c r="M243" s="82"/>
      <c r="N243" s="82"/>
    </row>
    <row r="244" spans="3:14">
      <c r="C244" s="82"/>
      <c r="D244" s="82"/>
      <c r="E244" s="82"/>
      <c r="F244" s="82"/>
      <c r="G244" s="82"/>
      <c r="H244" s="82"/>
      <c r="I244" s="82"/>
      <c r="J244" s="82"/>
      <c r="K244" s="82"/>
      <c r="L244" s="82"/>
      <c r="M244" s="82"/>
      <c r="N244" s="82"/>
    </row>
    <row r="245" spans="3:14">
      <c r="C245" s="82"/>
      <c r="D245" s="82"/>
      <c r="E245" s="82"/>
      <c r="F245" s="82"/>
      <c r="G245" s="82"/>
      <c r="H245" s="82"/>
      <c r="I245" s="82"/>
      <c r="J245" s="82"/>
      <c r="K245" s="82"/>
      <c r="L245" s="82"/>
      <c r="M245" s="82"/>
      <c r="N245" s="82"/>
    </row>
    <row r="246" spans="3:14">
      <c r="C246" s="82"/>
      <c r="D246" s="82"/>
      <c r="E246" s="82"/>
      <c r="F246" s="82"/>
      <c r="G246" s="82"/>
      <c r="H246" s="82"/>
      <c r="I246" s="82"/>
      <c r="J246" s="82"/>
      <c r="K246" s="82"/>
      <c r="L246" s="82"/>
      <c r="M246" s="82"/>
      <c r="N246" s="82"/>
    </row>
    <row r="247" spans="3:14">
      <c r="C247" s="82"/>
      <c r="D247" s="82"/>
      <c r="E247" s="82"/>
      <c r="F247" s="82"/>
      <c r="G247" s="82"/>
      <c r="H247" s="82"/>
      <c r="I247" s="82"/>
      <c r="J247" s="82"/>
      <c r="K247" s="82"/>
      <c r="L247" s="82"/>
      <c r="M247" s="82"/>
      <c r="N247" s="82"/>
    </row>
    <row r="248" spans="3:14">
      <c r="C248" s="82"/>
      <c r="D248" s="82"/>
      <c r="E248" s="82"/>
      <c r="F248" s="82"/>
      <c r="G248" s="82"/>
      <c r="H248" s="82"/>
      <c r="I248" s="82"/>
      <c r="J248" s="82"/>
      <c r="K248" s="82"/>
      <c r="L248" s="82"/>
      <c r="M248" s="82"/>
      <c r="N248" s="82"/>
    </row>
    <row r="249" spans="3:14">
      <c r="C249" s="82"/>
      <c r="D249" s="82"/>
      <c r="E249" s="82"/>
      <c r="F249" s="82"/>
      <c r="G249" s="82"/>
      <c r="H249" s="82"/>
      <c r="I249" s="82"/>
      <c r="J249" s="82"/>
      <c r="K249" s="82"/>
      <c r="L249" s="82"/>
      <c r="M249" s="82"/>
      <c r="N249" s="82"/>
    </row>
    <row r="250" spans="3:14">
      <c r="C250" s="82"/>
      <c r="D250" s="82"/>
      <c r="E250" s="82"/>
      <c r="F250" s="82"/>
      <c r="G250" s="82"/>
      <c r="H250" s="82"/>
      <c r="I250" s="82"/>
      <c r="J250" s="82"/>
      <c r="K250" s="82"/>
      <c r="L250" s="82"/>
      <c r="M250" s="82"/>
      <c r="N250" s="82"/>
    </row>
    <row r="251" spans="3:14">
      <c r="C251" s="82"/>
      <c r="D251" s="82"/>
      <c r="E251" s="82"/>
      <c r="F251" s="82"/>
      <c r="G251" s="82"/>
      <c r="H251" s="82"/>
      <c r="I251" s="82"/>
      <c r="J251" s="82"/>
      <c r="K251" s="82"/>
      <c r="L251" s="82"/>
      <c r="M251" s="82"/>
      <c r="N251" s="82"/>
    </row>
    <row r="252" spans="3:14">
      <c r="C252" s="82"/>
      <c r="D252" s="82"/>
      <c r="E252" s="82"/>
      <c r="F252" s="82"/>
      <c r="G252" s="82"/>
      <c r="H252" s="82"/>
      <c r="I252" s="82"/>
      <c r="J252" s="82"/>
      <c r="K252" s="82"/>
      <c r="L252" s="82"/>
      <c r="M252" s="82"/>
      <c r="N252" s="82"/>
    </row>
    <row r="253" spans="3:14">
      <c r="C253" s="82"/>
      <c r="D253" s="82"/>
      <c r="E253" s="82"/>
      <c r="F253" s="82"/>
      <c r="G253" s="82"/>
      <c r="H253" s="82"/>
      <c r="I253" s="82"/>
      <c r="J253" s="82"/>
      <c r="K253" s="82"/>
      <c r="L253" s="82"/>
      <c r="M253" s="82"/>
      <c r="N253" s="82"/>
    </row>
    <row r="254" spans="3:14">
      <c r="C254" s="82"/>
      <c r="D254" s="82"/>
      <c r="E254" s="82"/>
      <c r="F254" s="82"/>
      <c r="G254" s="82"/>
      <c r="H254" s="82"/>
      <c r="I254" s="82"/>
      <c r="J254" s="82"/>
      <c r="K254" s="82"/>
      <c r="L254" s="82"/>
      <c r="M254" s="82"/>
      <c r="N254" s="82"/>
    </row>
    <row r="255" spans="3:14">
      <c r="C255" s="82"/>
      <c r="D255" s="82"/>
      <c r="E255" s="82"/>
      <c r="F255" s="82"/>
      <c r="G255" s="82"/>
      <c r="H255" s="82"/>
      <c r="I255" s="82"/>
      <c r="J255" s="82"/>
      <c r="K255" s="82"/>
      <c r="L255" s="82"/>
      <c r="M255" s="82"/>
      <c r="N255" s="82"/>
    </row>
    <row r="256" spans="3:14">
      <c r="C256" s="82"/>
      <c r="D256" s="82"/>
      <c r="E256" s="82"/>
      <c r="F256" s="82"/>
      <c r="G256" s="82"/>
      <c r="H256" s="82"/>
      <c r="I256" s="82"/>
      <c r="J256" s="82"/>
      <c r="K256" s="82"/>
      <c r="L256" s="82"/>
      <c r="M256" s="82"/>
      <c r="N256" s="82"/>
    </row>
    <row r="257" spans="3:14">
      <c r="C257" s="82"/>
      <c r="D257" s="82"/>
      <c r="E257" s="82"/>
      <c r="F257" s="82"/>
      <c r="G257" s="82"/>
      <c r="H257" s="82"/>
      <c r="I257" s="82"/>
      <c r="J257" s="82"/>
      <c r="K257" s="82"/>
      <c r="L257" s="82"/>
      <c r="M257" s="82"/>
      <c r="N257" s="82"/>
    </row>
    <row r="258" spans="3:14">
      <c r="C258" s="82"/>
      <c r="D258" s="82"/>
      <c r="E258" s="82"/>
      <c r="F258" s="82"/>
      <c r="G258" s="82"/>
      <c r="H258" s="82"/>
      <c r="I258" s="82"/>
      <c r="J258" s="82"/>
      <c r="K258" s="82"/>
      <c r="L258" s="82"/>
      <c r="M258" s="82"/>
      <c r="N258" s="82"/>
    </row>
    <row r="259" spans="3:14">
      <c r="C259" s="82"/>
      <c r="D259" s="82"/>
      <c r="E259" s="82"/>
      <c r="F259" s="82"/>
      <c r="G259" s="82"/>
      <c r="H259" s="82"/>
      <c r="I259" s="82"/>
      <c r="J259" s="82"/>
      <c r="K259" s="82"/>
      <c r="L259" s="82"/>
      <c r="M259" s="82"/>
      <c r="N259" s="82"/>
    </row>
    <row r="260" spans="3:14">
      <c r="C260" s="82"/>
      <c r="D260" s="82"/>
      <c r="E260" s="82"/>
      <c r="F260" s="82"/>
      <c r="G260" s="82"/>
      <c r="H260" s="82"/>
      <c r="I260" s="82"/>
      <c r="J260" s="82"/>
      <c r="K260" s="82"/>
      <c r="L260" s="82"/>
      <c r="M260" s="82"/>
      <c r="N260" s="82"/>
    </row>
    <row r="261" spans="3:14">
      <c r="C261" s="82"/>
      <c r="D261" s="82"/>
      <c r="E261" s="82"/>
      <c r="F261" s="82"/>
      <c r="G261" s="82"/>
      <c r="H261" s="82"/>
      <c r="I261" s="82"/>
      <c r="J261" s="82"/>
      <c r="K261" s="82"/>
      <c r="L261" s="82"/>
      <c r="M261" s="82"/>
      <c r="N261" s="82"/>
    </row>
    <row r="262" spans="3:14">
      <c r="C262" s="82"/>
      <c r="D262" s="82"/>
      <c r="E262" s="82"/>
      <c r="F262" s="82"/>
      <c r="G262" s="82"/>
      <c r="H262" s="82"/>
      <c r="I262" s="82"/>
      <c r="J262" s="82"/>
      <c r="K262" s="82"/>
      <c r="L262" s="82"/>
      <c r="M262" s="82"/>
      <c r="N262" s="82"/>
    </row>
    <row r="263" spans="3:14">
      <c r="C263" s="82"/>
      <c r="D263" s="82"/>
      <c r="E263" s="82"/>
      <c r="F263" s="82"/>
      <c r="G263" s="82"/>
      <c r="H263" s="82"/>
      <c r="I263" s="82"/>
      <c r="J263" s="82"/>
      <c r="K263" s="82"/>
      <c r="L263" s="82"/>
      <c r="M263" s="82"/>
      <c r="N263" s="82"/>
    </row>
    <row r="264" spans="3:14">
      <c r="C264" s="82"/>
      <c r="D264" s="82"/>
      <c r="E264" s="82"/>
      <c r="F264" s="82"/>
      <c r="G264" s="82"/>
      <c r="H264" s="82"/>
      <c r="I264" s="82"/>
      <c r="J264" s="82"/>
      <c r="K264" s="82"/>
      <c r="L264" s="82"/>
      <c r="M264" s="82"/>
      <c r="N264" s="82"/>
    </row>
    <row r="265" spans="3:14">
      <c r="C265" s="82"/>
      <c r="D265" s="82"/>
      <c r="E265" s="82"/>
      <c r="F265" s="82"/>
      <c r="G265" s="82"/>
      <c r="H265" s="82"/>
      <c r="I265" s="82"/>
      <c r="J265" s="82"/>
      <c r="K265" s="82"/>
      <c r="L265" s="82"/>
      <c r="M265" s="82"/>
      <c r="N265" s="82"/>
    </row>
    <row r="266" spans="3:14">
      <c r="C266" s="82"/>
      <c r="D266" s="82"/>
      <c r="E266" s="82"/>
      <c r="F266" s="82"/>
      <c r="G266" s="82"/>
      <c r="H266" s="82"/>
      <c r="I266" s="82"/>
      <c r="J266" s="82"/>
      <c r="K266" s="82"/>
      <c r="L266" s="82"/>
      <c r="M266" s="82"/>
      <c r="N266" s="82"/>
    </row>
    <row r="267" spans="3:14">
      <c r="C267" s="82"/>
      <c r="D267" s="82"/>
      <c r="E267" s="82"/>
      <c r="F267" s="82"/>
      <c r="G267" s="82"/>
      <c r="H267" s="82"/>
      <c r="I267" s="82"/>
      <c r="J267" s="82"/>
      <c r="K267" s="82"/>
      <c r="L267" s="82"/>
      <c r="M267" s="82"/>
      <c r="N267" s="82"/>
    </row>
    <row r="268" spans="3:14">
      <c r="C268" s="82"/>
      <c r="D268" s="82"/>
      <c r="E268" s="82"/>
      <c r="F268" s="82"/>
      <c r="G268" s="82"/>
      <c r="H268" s="82"/>
      <c r="I268" s="82"/>
      <c r="J268" s="82"/>
      <c r="K268" s="82"/>
      <c r="L268" s="82"/>
      <c r="M268" s="82"/>
      <c r="N268" s="82"/>
    </row>
    <row r="269" spans="3:14">
      <c r="C269" s="82"/>
      <c r="D269" s="82"/>
      <c r="E269" s="82"/>
      <c r="F269" s="82"/>
      <c r="G269" s="82"/>
      <c r="H269" s="82"/>
      <c r="I269" s="82"/>
      <c r="J269" s="82"/>
      <c r="K269" s="82"/>
      <c r="L269" s="82"/>
      <c r="M269" s="82"/>
      <c r="N269" s="82"/>
    </row>
    <row r="270" spans="3:14">
      <c r="C270" s="82"/>
      <c r="D270" s="82"/>
      <c r="E270" s="82"/>
      <c r="F270" s="82"/>
      <c r="G270" s="82"/>
      <c r="H270" s="82"/>
      <c r="I270" s="82"/>
      <c r="J270" s="82"/>
      <c r="K270" s="82"/>
      <c r="L270" s="82"/>
      <c r="M270" s="82"/>
      <c r="N270" s="82"/>
    </row>
    <row r="271" spans="3:14">
      <c r="C271" s="82"/>
      <c r="D271" s="82"/>
      <c r="E271" s="82"/>
      <c r="F271" s="82"/>
      <c r="G271" s="82"/>
      <c r="H271" s="82"/>
      <c r="I271" s="82"/>
      <c r="J271" s="82"/>
      <c r="K271" s="82"/>
      <c r="L271" s="82"/>
      <c r="M271" s="82"/>
      <c r="N271" s="82"/>
    </row>
    <row r="272" spans="3:14">
      <c r="C272" s="82"/>
      <c r="D272" s="82"/>
      <c r="E272" s="82"/>
      <c r="F272" s="82"/>
      <c r="G272" s="82"/>
      <c r="H272" s="82"/>
      <c r="I272" s="82"/>
      <c r="J272" s="82"/>
      <c r="K272" s="82"/>
      <c r="L272" s="82"/>
      <c r="M272" s="82"/>
      <c r="N272" s="82"/>
    </row>
    <row r="273" spans="3:14">
      <c r="C273" s="82"/>
      <c r="D273" s="82"/>
      <c r="E273" s="82"/>
      <c r="F273" s="82"/>
      <c r="G273" s="82"/>
      <c r="H273" s="82"/>
      <c r="I273" s="82"/>
      <c r="J273" s="82"/>
      <c r="K273" s="82"/>
      <c r="L273" s="82"/>
      <c r="M273" s="82"/>
      <c r="N273" s="82"/>
    </row>
    <row r="274" spans="3:14">
      <c r="C274" s="82"/>
      <c r="D274" s="82"/>
      <c r="E274" s="82"/>
      <c r="F274" s="82"/>
      <c r="G274" s="82"/>
      <c r="H274" s="82"/>
      <c r="I274" s="82"/>
      <c r="J274" s="82"/>
      <c r="K274" s="82"/>
      <c r="L274" s="82"/>
      <c r="M274" s="82"/>
      <c r="N274" s="82"/>
    </row>
    <row r="275" spans="3:14">
      <c r="C275" s="82"/>
      <c r="D275" s="82"/>
      <c r="E275" s="82"/>
      <c r="F275" s="82"/>
      <c r="G275" s="82"/>
      <c r="H275" s="82"/>
      <c r="I275" s="82"/>
      <c r="J275" s="82"/>
      <c r="K275" s="82"/>
      <c r="L275" s="82"/>
      <c r="M275" s="82"/>
      <c r="N275" s="82"/>
    </row>
    <row r="276" spans="3:14">
      <c r="C276" s="82"/>
      <c r="D276" s="82"/>
      <c r="E276" s="82"/>
      <c r="F276" s="82"/>
      <c r="G276" s="82"/>
      <c r="H276" s="82"/>
      <c r="I276" s="82"/>
      <c r="J276" s="82"/>
      <c r="K276" s="82"/>
      <c r="L276" s="82"/>
      <c r="M276" s="82"/>
      <c r="N276" s="82"/>
    </row>
    <row r="277" spans="3:14">
      <c r="C277" s="82"/>
      <c r="D277" s="82"/>
      <c r="E277" s="82"/>
      <c r="F277" s="82"/>
      <c r="G277" s="82"/>
      <c r="H277" s="82"/>
      <c r="I277" s="82"/>
      <c r="J277" s="82"/>
      <c r="K277" s="82"/>
      <c r="L277" s="82"/>
      <c r="M277" s="82"/>
      <c r="N277" s="82"/>
    </row>
    <row r="278" spans="3:14">
      <c r="C278" s="82"/>
      <c r="D278" s="82"/>
      <c r="E278" s="82"/>
      <c r="F278" s="82"/>
      <c r="G278" s="82"/>
      <c r="H278" s="82"/>
      <c r="I278" s="82"/>
      <c r="J278" s="82"/>
      <c r="K278" s="82"/>
      <c r="L278" s="82"/>
      <c r="M278" s="82"/>
      <c r="N278" s="82"/>
    </row>
    <row r="279" spans="3:14">
      <c r="C279" s="82"/>
      <c r="D279" s="82"/>
      <c r="E279" s="82"/>
      <c r="F279" s="82"/>
      <c r="G279" s="82"/>
      <c r="H279" s="82"/>
      <c r="I279" s="82"/>
      <c r="J279" s="82"/>
      <c r="K279" s="82"/>
      <c r="L279" s="82"/>
      <c r="M279" s="82"/>
      <c r="N279" s="82"/>
    </row>
    <row r="280" spans="3:14">
      <c r="C280" s="82"/>
      <c r="D280" s="82"/>
      <c r="E280" s="82"/>
      <c r="F280" s="82"/>
      <c r="G280" s="82"/>
      <c r="H280" s="82"/>
      <c r="I280" s="82"/>
      <c r="J280" s="82"/>
      <c r="K280" s="82"/>
      <c r="L280" s="82"/>
      <c r="M280" s="82"/>
      <c r="N280" s="82"/>
    </row>
    <row r="281" spans="3:14">
      <c r="C281" s="82"/>
      <c r="D281" s="82"/>
      <c r="E281" s="82"/>
      <c r="F281" s="82"/>
      <c r="G281" s="82"/>
      <c r="H281" s="82"/>
      <c r="I281" s="82"/>
      <c r="J281" s="82"/>
      <c r="K281" s="82"/>
      <c r="L281" s="82"/>
      <c r="M281" s="82"/>
      <c r="N281" s="82"/>
    </row>
    <row r="282" spans="3:14">
      <c r="C282" s="82"/>
      <c r="D282" s="82"/>
      <c r="E282" s="82"/>
      <c r="F282" s="82"/>
      <c r="G282" s="82"/>
      <c r="H282" s="82"/>
      <c r="I282" s="82"/>
      <c r="J282" s="82"/>
      <c r="K282" s="82"/>
      <c r="L282" s="82"/>
      <c r="M282" s="82"/>
      <c r="N282" s="82"/>
    </row>
    <row r="283" spans="3:14">
      <c r="C283" s="82"/>
      <c r="D283" s="82"/>
      <c r="E283" s="82"/>
      <c r="F283" s="82"/>
      <c r="G283" s="82"/>
      <c r="H283" s="82"/>
      <c r="I283" s="82"/>
      <c r="J283" s="82"/>
      <c r="K283" s="82"/>
      <c r="L283" s="82"/>
      <c r="M283" s="82"/>
      <c r="N283" s="82"/>
    </row>
    <row r="284" spans="3:14">
      <c r="C284" s="82"/>
      <c r="D284" s="82"/>
      <c r="E284" s="82"/>
      <c r="F284" s="82"/>
      <c r="G284" s="82"/>
      <c r="H284" s="82"/>
      <c r="I284" s="82"/>
      <c r="J284" s="82"/>
      <c r="K284" s="82"/>
      <c r="L284" s="82"/>
      <c r="M284" s="82"/>
      <c r="N284" s="82"/>
    </row>
    <row r="285" spans="3:14">
      <c r="C285" s="82"/>
      <c r="D285" s="82"/>
      <c r="E285" s="82"/>
      <c r="F285" s="82"/>
      <c r="G285" s="82"/>
      <c r="H285" s="82"/>
      <c r="I285" s="82"/>
      <c r="J285" s="82"/>
      <c r="K285" s="82"/>
      <c r="L285" s="82"/>
      <c r="M285" s="82"/>
      <c r="N285" s="82"/>
    </row>
    <row r="286" spans="3:14">
      <c r="C286" s="82"/>
      <c r="D286" s="82"/>
      <c r="E286" s="82"/>
      <c r="F286" s="82"/>
      <c r="G286" s="82"/>
      <c r="H286" s="82"/>
      <c r="I286" s="82"/>
      <c r="J286" s="82"/>
      <c r="K286" s="82"/>
      <c r="L286" s="82"/>
      <c r="M286" s="82"/>
      <c r="N286" s="82"/>
    </row>
    <row r="287" spans="3:14">
      <c r="C287" s="82"/>
      <c r="D287" s="82"/>
      <c r="E287" s="82"/>
      <c r="F287" s="82"/>
      <c r="G287" s="82"/>
      <c r="H287" s="82"/>
      <c r="I287" s="82"/>
      <c r="J287" s="82"/>
      <c r="K287" s="82"/>
      <c r="L287" s="82"/>
      <c r="M287" s="82"/>
      <c r="N287" s="82"/>
    </row>
    <row r="288" spans="3:14">
      <c r="C288" s="82"/>
      <c r="D288" s="82"/>
      <c r="E288" s="82"/>
      <c r="F288" s="82"/>
      <c r="G288" s="82"/>
      <c r="H288" s="82"/>
      <c r="I288" s="82"/>
      <c r="J288" s="82"/>
      <c r="K288" s="82"/>
      <c r="L288" s="82"/>
      <c r="M288" s="82"/>
      <c r="N288" s="82"/>
    </row>
    <row r="289" spans="3:14">
      <c r="C289" s="82"/>
      <c r="D289" s="82"/>
      <c r="E289" s="82"/>
      <c r="F289" s="82"/>
      <c r="G289" s="82"/>
      <c r="H289" s="82"/>
      <c r="I289" s="82"/>
      <c r="J289" s="82"/>
      <c r="K289" s="82"/>
      <c r="L289" s="82"/>
      <c r="M289" s="82"/>
      <c r="N289" s="82"/>
    </row>
    <row r="290" spans="3:14">
      <c r="C290" s="82"/>
      <c r="D290" s="82"/>
      <c r="E290" s="82"/>
      <c r="F290" s="82"/>
      <c r="G290" s="82"/>
      <c r="H290" s="82"/>
      <c r="I290" s="82"/>
      <c r="J290" s="82"/>
      <c r="K290" s="82"/>
      <c r="L290" s="82"/>
      <c r="M290" s="82"/>
      <c r="N290" s="82"/>
    </row>
    <row r="291" spans="3:14">
      <c r="C291" s="82"/>
      <c r="D291" s="82"/>
      <c r="E291" s="82"/>
      <c r="F291" s="82"/>
      <c r="G291" s="82"/>
      <c r="H291" s="82"/>
      <c r="I291" s="82"/>
      <c r="J291" s="82"/>
      <c r="K291" s="82"/>
      <c r="L291" s="82"/>
      <c r="M291" s="82"/>
      <c r="N291" s="82"/>
    </row>
    <row r="292" spans="3:14">
      <c r="C292" s="82"/>
      <c r="D292" s="82"/>
      <c r="E292" s="82"/>
      <c r="F292" s="82"/>
      <c r="G292" s="82"/>
      <c r="H292" s="82"/>
      <c r="I292" s="82"/>
      <c r="J292" s="82"/>
      <c r="K292" s="82"/>
      <c r="L292" s="82"/>
      <c r="M292" s="82"/>
      <c r="N292" s="82"/>
    </row>
    <row r="293" spans="3:14">
      <c r="C293" s="82"/>
      <c r="D293" s="82"/>
      <c r="E293" s="82"/>
      <c r="F293" s="82"/>
      <c r="G293" s="82"/>
      <c r="H293" s="82"/>
      <c r="I293" s="82"/>
      <c r="J293" s="82"/>
      <c r="K293" s="82"/>
      <c r="L293" s="82"/>
      <c r="M293" s="82"/>
      <c r="N293" s="82"/>
    </row>
    <row r="294" spans="3:14">
      <c r="C294" s="82"/>
      <c r="D294" s="82"/>
      <c r="E294" s="82"/>
      <c r="F294" s="82"/>
      <c r="G294" s="82"/>
      <c r="H294" s="82"/>
      <c r="I294" s="82"/>
      <c r="J294" s="82"/>
      <c r="K294" s="82"/>
      <c r="L294" s="82"/>
      <c r="M294" s="82"/>
      <c r="N294" s="82"/>
    </row>
    <row r="295" spans="3:14">
      <c r="C295" s="82"/>
      <c r="D295" s="82"/>
      <c r="E295" s="82"/>
      <c r="F295" s="82"/>
      <c r="G295" s="82"/>
      <c r="H295" s="82"/>
      <c r="I295" s="82"/>
      <c r="J295" s="82"/>
      <c r="K295" s="82"/>
      <c r="L295" s="82"/>
      <c r="M295" s="82"/>
      <c r="N295" s="82"/>
    </row>
    <row r="296" spans="3:14">
      <c r="C296" s="82"/>
      <c r="D296" s="82"/>
      <c r="E296" s="82"/>
      <c r="F296" s="82"/>
      <c r="G296" s="82"/>
      <c r="H296" s="82"/>
      <c r="I296" s="82"/>
      <c r="J296" s="82"/>
      <c r="K296" s="82"/>
      <c r="L296" s="82"/>
      <c r="M296" s="82"/>
      <c r="N296" s="82"/>
    </row>
    <row r="297" spans="3:14">
      <c r="C297" s="82"/>
      <c r="D297" s="82"/>
      <c r="E297" s="82"/>
      <c r="F297" s="82"/>
      <c r="G297" s="82"/>
      <c r="H297" s="82"/>
      <c r="I297" s="82"/>
      <c r="J297" s="82"/>
      <c r="K297" s="82"/>
      <c r="L297" s="82"/>
      <c r="M297" s="82"/>
      <c r="N297" s="82"/>
    </row>
    <row r="298" spans="3:14">
      <c r="C298" s="82"/>
      <c r="D298" s="82"/>
      <c r="E298" s="82"/>
      <c r="F298" s="82"/>
      <c r="G298" s="82"/>
      <c r="H298" s="82"/>
      <c r="I298" s="82"/>
      <c r="J298" s="82"/>
      <c r="K298" s="82"/>
      <c r="L298" s="82"/>
      <c r="M298" s="82"/>
      <c r="N298" s="82"/>
    </row>
    <row r="299" spans="3:14">
      <c r="C299" s="82"/>
      <c r="D299" s="82"/>
      <c r="E299" s="82"/>
      <c r="F299" s="82"/>
      <c r="G299" s="82"/>
      <c r="H299" s="82"/>
      <c r="I299" s="82"/>
      <c r="J299" s="82"/>
      <c r="K299" s="82"/>
      <c r="L299" s="82"/>
      <c r="M299" s="82"/>
      <c r="N299" s="82"/>
    </row>
    <row r="300" spans="3:14">
      <c r="C300" s="82"/>
      <c r="D300" s="82"/>
      <c r="E300" s="82"/>
      <c r="F300" s="82"/>
      <c r="G300" s="82"/>
      <c r="H300" s="82"/>
      <c r="I300" s="82"/>
      <c r="J300" s="82"/>
      <c r="K300" s="82"/>
      <c r="L300" s="82"/>
      <c r="M300" s="82"/>
      <c r="N300" s="82"/>
    </row>
    <row r="301" spans="3:14">
      <c r="C301" s="82"/>
      <c r="D301" s="82"/>
      <c r="E301" s="82"/>
      <c r="F301" s="82"/>
      <c r="G301" s="82"/>
      <c r="H301" s="82"/>
      <c r="I301" s="82"/>
      <c r="J301" s="82"/>
      <c r="K301" s="82"/>
      <c r="L301" s="82"/>
      <c r="M301" s="82"/>
      <c r="N301" s="82"/>
    </row>
    <row r="302" spans="3:14">
      <c r="C302" s="82"/>
      <c r="D302" s="82"/>
      <c r="E302" s="82"/>
      <c r="F302" s="82"/>
      <c r="G302" s="82"/>
      <c r="H302" s="82"/>
      <c r="I302" s="82"/>
      <c r="J302" s="82"/>
      <c r="K302" s="82"/>
      <c r="L302" s="82"/>
      <c r="M302" s="82"/>
      <c r="N302" s="82"/>
    </row>
    <row r="303" spans="3:14">
      <c r="C303" s="82"/>
      <c r="D303" s="82"/>
      <c r="E303" s="82"/>
      <c r="F303" s="82"/>
      <c r="G303" s="82"/>
      <c r="H303" s="82"/>
      <c r="I303" s="82"/>
      <c r="J303" s="82"/>
      <c r="K303" s="82"/>
      <c r="L303" s="82"/>
      <c r="M303" s="82"/>
      <c r="N303" s="82"/>
    </row>
    <row r="304" spans="3:14">
      <c r="C304" s="82"/>
      <c r="D304" s="82"/>
      <c r="E304" s="82"/>
      <c r="F304" s="82"/>
      <c r="G304" s="82"/>
      <c r="H304" s="82"/>
      <c r="I304" s="82"/>
      <c r="J304" s="82"/>
      <c r="K304" s="82"/>
      <c r="L304" s="82"/>
      <c r="M304" s="82"/>
      <c r="N304" s="82"/>
    </row>
    <row r="305" spans="3:14">
      <c r="C305" s="82"/>
      <c r="D305" s="82"/>
      <c r="E305" s="82"/>
      <c r="F305" s="82"/>
      <c r="G305" s="82"/>
      <c r="H305" s="82"/>
      <c r="I305" s="82"/>
      <c r="J305" s="82"/>
      <c r="K305" s="82"/>
      <c r="L305" s="82"/>
      <c r="M305" s="82"/>
      <c r="N305" s="82"/>
    </row>
    <row r="306" spans="3:14">
      <c r="C306" s="82"/>
      <c r="D306" s="82"/>
      <c r="E306" s="82"/>
      <c r="F306" s="82"/>
      <c r="G306" s="82"/>
      <c r="H306" s="82"/>
      <c r="I306" s="82"/>
      <c r="J306" s="82"/>
      <c r="K306" s="82"/>
      <c r="L306" s="82"/>
      <c r="M306" s="82"/>
      <c r="N306" s="82"/>
    </row>
    <row r="307" spans="3:14">
      <c r="C307" s="82"/>
      <c r="D307" s="82"/>
      <c r="E307" s="82"/>
      <c r="F307" s="82"/>
      <c r="G307" s="82"/>
      <c r="H307" s="82"/>
      <c r="I307" s="82"/>
      <c r="J307" s="82"/>
      <c r="K307" s="82"/>
      <c r="L307" s="82"/>
      <c r="M307" s="82"/>
      <c r="N307" s="82"/>
    </row>
    <row r="308" spans="3:14">
      <c r="C308" s="82"/>
      <c r="D308" s="82"/>
      <c r="E308" s="82"/>
      <c r="F308" s="82"/>
      <c r="G308" s="82"/>
      <c r="H308" s="82"/>
      <c r="I308" s="82"/>
      <c r="J308" s="82"/>
      <c r="K308" s="82"/>
      <c r="L308" s="82"/>
      <c r="M308" s="82"/>
      <c r="N308" s="82"/>
    </row>
    <row r="309" spans="3:14">
      <c r="C309" s="82"/>
      <c r="D309" s="82"/>
      <c r="E309" s="82"/>
      <c r="F309" s="82"/>
      <c r="G309" s="82"/>
      <c r="H309" s="82"/>
      <c r="I309" s="82"/>
      <c r="J309" s="82"/>
      <c r="K309" s="82"/>
      <c r="L309" s="82"/>
      <c r="M309" s="82"/>
      <c r="N309" s="82"/>
    </row>
    <row r="310" spans="3:14">
      <c r="C310" s="82"/>
      <c r="D310" s="82"/>
      <c r="E310" s="82"/>
      <c r="F310" s="82"/>
      <c r="G310" s="82"/>
      <c r="H310" s="82"/>
      <c r="I310" s="82"/>
      <c r="J310" s="82"/>
      <c r="K310" s="82"/>
      <c r="L310" s="82"/>
      <c r="M310" s="82"/>
      <c r="N310" s="82"/>
    </row>
    <row r="311" spans="3:14">
      <c r="C311" s="82"/>
      <c r="D311" s="82"/>
      <c r="E311" s="82"/>
      <c r="F311" s="82"/>
      <c r="G311" s="82"/>
      <c r="H311" s="82"/>
      <c r="I311" s="82"/>
      <c r="J311" s="82"/>
      <c r="K311" s="82"/>
      <c r="L311" s="82"/>
      <c r="M311" s="82"/>
      <c r="N311" s="82"/>
    </row>
    <row r="312" spans="3:14">
      <c r="C312" s="82"/>
      <c r="D312" s="82"/>
      <c r="E312" s="82"/>
      <c r="F312" s="82"/>
      <c r="G312" s="82"/>
      <c r="H312" s="82"/>
      <c r="I312" s="82"/>
      <c r="J312" s="82"/>
      <c r="K312" s="82"/>
      <c r="L312" s="82"/>
      <c r="M312" s="82"/>
      <c r="N312" s="82"/>
    </row>
    <row r="313" spans="3:14">
      <c r="C313" s="82"/>
      <c r="D313" s="82"/>
      <c r="E313" s="82"/>
      <c r="F313" s="82"/>
      <c r="G313" s="82"/>
      <c r="H313" s="82"/>
      <c r="I313" s="82"/>
      <c r="J313" s="82"/>
      <c r="K313" s="82"/>
      <c r="L313" s="82"/>
      <c r="M313" s="82"/>
      <c r="N313" s="82"/>
    </row>
    <row r="314" spans="3:14">
      <c r="C314" s="82"/>
      <c r="D314" s="82"/>
      <c r="E314" s="82"/>
      <c r="F314" s="82"/>
      <c r="G314" s="82"/>
      <c r="H314" s="82"/>
      <c r="I314" s="82"/>
      <c r="J314" s="82"/>
      <c r="K314" s="82"/>
      <c r="L314" s="82"/>
      <c r="M314" s="82"/>
      <c r="N314" s="82"/>
    </row>
    <row r="315" spans="3:14">
      <c r="C315" s="82"/>
      <c r="D315" s="82"/>
      <c r="E315" s="82"/>
      <c r="F315" s="82"/>
      <c r="G315" s="82"/>
      <c r="H315" s="82"/>
      <c r="I315" s="82"/>
      <c r="J315" s="82"/>
      <c r="K315" s="82"/>
      <c r="L315" s="82"/>
      <c r="M315" s="82"/>
      <c r="N315" s="82"/>
    </row>
    <row r="316" spans="3:14">
      <c r="C316" s="82"/>
      <c r="D316" s="82"/>
      <c r="E316" s="82"/>
      <c r="F316" s="82"/>
      <c r="G316" s="82"/>
      <c r="H316" s="82"/>
      <c r="I316" s="82"/>
      <c r="J316" s="82"/>
      <c r="K316" s="82"/>
      <c r="L316" s="82"/>
      <c r="M316" s="82"/>
      <c r="N316" s="82"/>
    </row>
    <row r="317" spans="3:14">
      <c r="C317" s="82"/>
      <c r="D317" s="82"/>
      <c r="E317" s="82"/>
      <c r="F317" s="82"/>
      <c r="G317" s="82"/>
      <c r="H317" s="82"/>
      <c r="I317" s="82"/>
      <c r="J317" s="82"/>
      <c r="K317" s="82"/>
      <c r="L317" s="82"/>
      <c r="M317" s="82"/>
      <c r="N317" s="82"/>
    </row>
    <row r="318" spans="3:14">
      <c r="C318" s="82"/>
      <c r="D318" s="82"/>
      <c r="E318" s="82"/>
      <c r="F318" s="82"/>
      <c r="G318" s="82"/>
      <c r="H318" s="82"/>
      <c r="I318" s="82"/>
      <c r="J318" s="82"/>
      <c r="K318" s="82"/>
      <c r="L318" s="82"/>
      <c r="M318" s="82"/>
      <c r="N318" s="82"/>
    </row>
    <row r="319" spans="3:14">
      <c r="C319" s="82"/>
      <c r="D319" s="82"/>
      <c r="E319" s="82"/>
      <c r="F319" s="82"/>
      <c r="G319" s="82"/>
      <c r="H319" s="82"/>
      <c r="I319" s="82"/>
      <c r="J319" s="82"/>
      <c r="K319" s="82"/>
      <c r="L319" s="82"/>
      <c r="M319" s="82"/>
      <c r="N319" s="82"/>
    </row>
    <row r="320" spans="3:14">
      <c r="C320" s="82"/>
      <c r="D320" s="82"/>
      <c r="E320" s="82"/>
      <c r="F320" s="82"/>
      <c r="G320" s="82"/>
      <c r="H320" s="82"/>
      <c r="I320" s="82"/>
      <c r="J320" s="82"/>
      <c r="K320" s="82"/>
      <c r="L320" s="82"/>
      <c r="M320" s="82"/>
      <c r="N320"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85" zoomScaleNormal="85" workbookViewId="0">
      <pane xSplit="3" ySplit="5" topLeftCell="D18"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13" t="s">
        <v>73</v>
      </c>
      <c r="B1" s="213"/>
      <c r="C1" s="213"/>
      <c r="D1" s="213"/>
      <c r="E1" s="213"/>
      <c r="F1" s="213"/>
      <c r="G1" s="213"/>
      <c r="H1" s="213"/>
      <c r="I1" s="213"/>
      <c r="J1" s="213"/>
      <c r="K1" s="213"/>
      <c r="L1" s="213"/>
      <c r="M1" s="213"/>
      <c r="N1" s="213"/>
      <c r="O1" s="213"/>
      <c r="P1" s="213"/>
      <c r="Q1" s="213"/>
    </row>
    <row r="2" spans="1:19" ht="15.75">
      <c r="A2" s="214" t="s">
        <v>30</v>
      </c>
      <c r="B2" s="214"/>
      <c r="C2" s="214"/>
      <c r="D2" s="214"/>
      <c r="E2" s="214"/>
      <c r="F2" s="214"/>
      <c r="G2" s="214"/>
      <c r="H2" s="214"/>
      <c r="I2" s="214"/>
      <c r="J2" s="214"/>
      <c r="K2" s="214"/>
      <c r="L2" s="214"/>
      <c r="M2" s="214"/>
      <c r="N2" s="214"/>
      <c r="O2" s="214"/>
      <c r="P2" s="214"/>
      <c r="Q2" s="214"/>
    </row>
    <row r="3" spans="1:19">
      <c r="A3" s="63" t="s">
        <v>0</v>
      </c>
    </row>
    <row r="4" spans="1:19">
      <c r="A4" s="9" t="s">
        <v>1</v>
      </c>
      <c r="F4" s="86"/>
      <c r="G4" s="86"/>
      <c r="H4" s="86"/>
      <c r="I4" s="86"/>
      <c r="J4" s="86"/>
      <c r="K4" s="86"/>
      <c r="L4" s="86"/>
      <c r="M4" s="86"/>
      <c r="N4" s="86"/>
      <c r="O4" s="86"/>
      <c r="P4" s="86"/>
      <c r="Q4" s="86"/>
    </row>
    <row r="5" spans="1:19">
      <c r="B5" s="79" t="s">
        <v>74</v>
      </c>
      <c r="C5" s="62"/>
      <c r="D5" s="215" t="s">
        <v>9</v>
      </c>
      <c r="E5" s="215"/>
      <c r="F5" s="91">
        <v>43496</v>
      </c>
      <c r="G5" s="91">
        <f>EOMONTH(F5,1)</f>
        <v>43524</v>
      </c>
      <c r="H5" s="91">
        <f t="shared" ref="H5:Q5" si="0">EOMONTH(G5,1)</f>
        <v>43555</v>
      </c>
      <c r="I5" s="91">
        <f t="shared" si="0"/>
        <v>43585</v>
      </c>
      <c r="J5" s="91">
        <f t="shared" si="0"/>
        <v>43616</v>
      </c>
      <c r="K5" s="91">
        <f t="shared" si="0"/>
        <v>43646</v>
      </c>
      <c r="L5" s="91">
        <f t="shared" si="0"/>
        <v>43677</v>
      </c>
      <c r="M5" s="91">
        <f t="shared" si="0"/>
        <v>43708</v>
      </c>
      <c r="N5" s="91">
        <f t="shared" si="0"/>
        <v>43738</v>
      </c>
      <c r="O5" s="91">
        <f t="shared" si="0"/>
        <v>43769</v>
      </c>
      <c r="P5" s="91">
        <f t="shared" si="0"/>
        <v>43799</v>
      </c>
      <c r="Q5" s="91">
        <f t="shared" si="0"/>
        <v>43830</v>
      </c>
    </row>
    <row r="6" spans="1:19" ht="15.95" customHeight="1">
      <c r="A6" s="9">
        <v>1</v>
      </c>
      <c r="B6" s="2" t="s">
        <v>3</v>
      </c>
      <c r="D6" s="216">
        <f>SUM(F6:Q6)</f>
        <v>71582851</v>
      </c>
      <c r="E6" s="216"/>
      <c r="F6" s="15">
        <f>'WA Monthly'!E23</f>
        <v>13287337</v>
      </c>
      <c r="G6" s="15">
        <f>'WA Monthly'!F23</f>
        <v>12471420</v>
      </c>
      <c r="H6" s="15">
        <f>'WA Monthly'!G23</f>
        <v>15020181</v>
      </c>
      <c r="I6" s="15">
        <f>'WA Monthly'!H23</f>
        <v>10654380</v>
      </c>
      <c r="J6" s="15">
        <f>'WA Monthly'!I23</f>
        <v>9382490</v>
      </c>
      <c r="K6" s="15">
        <f>'WA Monthly'!J23</f>
        <v>10767043</v>
      </c>
      <c r="L6" s="15">
        <f>'WA Monthly'!K23</f>
        <v>0</v>
      </c>
      <c r="M6" s="15">
        <f>'WA Monthly'!L23</f>
        <v>0</v>
      </c>
      <c r="N6" s="15">
        <f>'WA Monthly'!M23</f>
        <v>0</v>
      </c>
      <c r="O6" s="15">
        <f>'WA Monthly'!N23</f>
        <v>0</v>
      </c>
      <c r="P6" s="15">
        <f>'WA Monthly'!O23</f>
        <v>0</v>
      </c>
      <c r="Q6" s="15">
        <f>'WA Monthly'!P23</f>
        <v>0</v>
      </c>
    </row>
    <row r="7" spans="1:19" ht="15.95" customHeight="1">
      <c r="A7" s="9">
        <f t="shared" ref="A7:A13" si="1">A6+1</f>
        <v>2</v>
      </c>
      <c r="B7" s="2" t="s">
        <v>6</v>
      </c>
      <c r="D7" s="210">
        <f t="shared" ref="D7:D13" si="2">SUM(F7:Q7)</f>
        <v>-46263945</v>
      </c>
      <c r="E7" s="210"/>
      <c r="F7" s="15">
        <f>'WA Monthly'!E46</f>
        <v>-6954796</v>
      </c>
      <c r="G7" s="15">
        <f>'WA Monthly'!F46</f>
        <v>-3700447</v>
      </c>
      <c r="H7" s="15">
        <f>'WA Monthly'!G46</f>
        <v>-7976187</v>
      </c>
      <c r="I7" s="15">
        <f>'WA Monthly'!H46</f>
        <v>-10773352</v>
      </c>
      <c r="J7" s="15">
        <f>'WA Monthly'!I46</f>
        <v>-9218088</v>
      </c>
      <c r="K7" s="15">
        <f>'WA Monthly'!J46</f>
        <v>-7641075</v>
      </c>
      <c r="L7" s="15">
        <f>'WA Monthly'!K46</f>
        <v>0</v>
      </c>
      <c r="M7" s="15">
        <f>'WA Monthly'!L46</f>
        <v>0</v>
      </c>
      <c r="N7" s="15">
        <f>'WA Monthly'!M46</f>
        <v>0</v>
      </c>
      <c r="O7" s="15">
        <f>'WA Monthly'!N46</f>
        <v>0</v>
      </c>
      <c r="P7" s="15">
        <f>'WA Monthly'!O46</f>
        <v>0</v>
      </c>
      <c r="Q7" s="15">
        <f>'WA Monthly'!P46</f>
        <v>0</v>
      </c>
    </row>
    <row r="8" spans="1:19" ht="15.95" customHeight="1">
      <c r="A8" s="9">
        <f t="shared" si="1"/>
        <v>3</v>
      </c>
      <c r="B8" s="2" t="s">
        <v>4</v>
      </c>
      <c r="D8" s="209">
        <f t="shared" si="2"/>
        <v>12281928</v>
      </c>
      <c r="E8" s="209"/>
      <c r="F8" s="15">
        <f>'WA Monthly'!E64</f>
        <v>2866380</v>
      </c>
      <c r="G8" s="15">
        <f>'WA Monthly'!F64</f>
        <v>1489795</v>
      </c>
      <c r="H8" s="15">
        <f>'WA Monthly'!G64</f>
        <v>2867639</v>
      </c>
      <c r="I8" s="15">
        <f>'WA Monthly'!H64</f>
        <v>1993772</v>
      </c>
      <c r="J8" s="15">
        <f>'WA Monthly'!I64</f>
        <v>1171486</v>
      </c>
      <c r="K8" s="15">
        <f>'WA Monthly'!J64</f>
        <v>1892856</v>
      </c>
      <c r="L8" s="15">
        <f>'WA Monthly'!K64</f>
        <v>0</v>
      </c>
      <c r="M8" s="15">
        <f>'WA Monthly'!L64</f>
        <v>0</v>
      </c>
      <c r="N8" s="15">
        <f>'WA Monthly'!M64</f>
        <v>0</v>
      </c>
      <c r="O8" s="15">
        <f>'WA Monthly'!N64</f>
        <v>0</v>
      </c>
      <c r="P8" s="15">
        <f>'WA Monthly'!O64</f>
        <v>0</v>
      </c>
      <c r="Q8" s="15">
        <f>'WA Monthly'!P64</f>
        <v>0</v>
      </c>
    </row>
    <row r="9" spans="1:19" ht="15.95" customHeight="1">
      <c r="A9" s="9">
        <f t="shared" si="1"/>
        <v>4</v>
      </c>
      <c r="B9" s="2" t="s">
        <v>5</v>
      </c>
      <c r="D9" s="209">
        <f t="shared" si="2"/>
        <v>32630427</v>
      </c>
      <c r="E9" s="209"/>
      <c r="F9" s="15">
        <f>'WA Monthly'!E81</f>
        <v>5520134</v>
      </c>
      <c r="G9" s="15">
        <f>'WA Monthly'!F81</f>
        <v>12385807</v>
      </c>
      <c r="H9" s="15">
        <f>'WA Monthly'!G81</f>
        <v>7672060</v>
      </c>
      <c r="I9" s="15">
        <f>'WA Monthly'!H81</f>
        <v>3367643</v>
      </c>
      <c r="J9" s="15">
        <f>'WA Monthly'!I81</f>
        <v>1862247</v>
      </c>
      <c r="K9" s="15">
        <f>'WA Monthly'!J81</f>
        <v>1822536</v>
      </c>
      <c r="L9" s="15">
        <f>'WA Monthly'!K81</f>
        <v>0</v>
      </c>
      <c r="M9" s="15">
        <f>'WA Monthly'!L81</f>
        <v>0</v>
      </c>
      <c r="N9" s="15">
        <f>'WA Monthly'!M81</f>
        <v>0</v>
      </c>
      <c r="O9" s="15">
        <f>'WA Monthly'!N81</f>
        <v>0</v>
      </c>
      <c r="P9" s="15">
        <f>'WA Monthly'!O81</f>
        <v>0</v>
      </c>
      <c r="Q9" s="15">
        <f>'WA Monthly'!P81</f>
        <v>0</v>
      </c>
    </row>
    <row r="10" spans="1:19" ht="15.95" customHeight="1">
      <c r="A10" s="9">
        <f t="shared" si="1"/>
        <v>5</v>
      </c>
      <c r="B10" s="2" t="s">
        <v>42</v>
      </c>
      <c r="C10" s="1"/>
      <c r="D10" s="210">
        <f t="shared" si="2"/>
        <v>-9951508</v>
      </c>
      <c r="E10" s="210"/>
      <c r="F10" s="15">
        <f>'WA Monthly'!E95</f>
        <v>-1387701</v>
      </c>
      <c r="G10" s="15">
        <f>'WA Monthly'!F95</f>
        <v>-1693902</v>
      </c>
      <c r="H10" s="15">
        <f>'WA Monthly'!G95</f>
        <v>-2209602</v>
      </c>
      <c r="I10" s="15">
        <f>'WA Monthly'!H95</f>
        <v>-1531403</v>
      </c>
      <c r="J10" s="15">
        <f>'WA Monthly'!I95</f>
        <v>-1383252</v>
      </c>
      <c r="K10" s="15">
        <f>'WA Monthly'!J95</f>
        <v>-1745648</v>
      </c>
      <c r="L10" s="15">
        <f>'WA Monthly'!K95</f>
        <v>0</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9">
        <f t="shared" si="2"/>
        <v>8994725</v>
      </c>
      <c r="E11" s="209"/>
      <c r="F11" s="15">
        <f>'WA Monthly'!E101</f>
        <v>1471955</v>
      </c>
      <c r="G11" s="15">
        <f>'WA Monthly'!F101</f>
        <v>1538740</v>
      </c>
      <c r="H11" s="15">
        <f>'WA Monthly'!G101</f>
        <v>1681541</v>
      </c>
      <c r="I11" s="15">
        <f>'WA Monthly'!H101</f>
        <v>1453127</v>
      </c>
      <c r="J11" s="15">
        <f>'WA Monthly'!I101</f>
        <v>1443878</v>
      </c>
      <c r="K11" s="15">
        <f>'WA Monthly'!J101</f>
        <v>1405484</v>
      </c>
      <c r="L11" s="15">
        <f>'WA Monthly'!K101</f>
        <v>0</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9">
        <f t="shared" si="2"/>
        <v>374140</v>
      </c>
      <c r="E12" s="209"/>
      <c r="F12" s="15">
        <f>'WA Monthly'!E108</f>
        <v>40867</v>
      </c>
      <c r="G12" s="15">
        <f>'WA Monthly'!F108</f>
        <v>37768</v>
      </c>
      <c r="H12" s="15">
        <f>'WA Monthly'!G108</f>
        <v>91606</v>
      </c>
      <c r="I12" s="15">
        <f>'WA Monthly'!H108</f>
        <v>122083</v>
      </c>
      <c r="J12" s="15">
        <f>'WA Monthly'!I108</f>
        <v>34547</v>
      </c>
      <c r="K12" s="15">
        <f>'WA Monthly'!J108</f>
        <v>44007</v>
      </c>
      <c r="L12" s="15">
        <f>'WA Monthly'!K108</f>
        <v>3262</v>
      </c>
      <c r="M12" s="15">
        <f>'WA Monthly'!L108</f>
        <v>0</v>
      </c>
      <c r="N12" s="15">
        <f>'WA Monthly'!M108</f>
        <v>0</v>
      </c>
      <c r="O12" s="15">
        <f>'WA Monthly'!N108</f>
        <v>0</v>
      </c>
      <c r="P12" s="15">
        <f>'WA Monthly'!O108</f>
        <v>0</v>
      </c>
      <c r="Q12" s="15">
        <f>'WA Monthly'!P108</f>
        <v>0</v>
      </c>
    </row>
    <row r="13" spans="1:19" ht="15.95" customHeight="1">
      <c r="A13" s="9">
        <f t="shared" si="1"/>
        <v>8</v>
      </c>
      <c r="B13" s="92" t="s">
        <v>10</v>
      </c>
      <c r="C13" s="92"/>
      <c r="D13" s="202">
        <f t="shared" si="2"/>
        <v>69648618</v>
      </c>
      <c r="E13" s="202"/>
      <c r="F13" s="93">
        <f t="shared" ref="F13:Q13" si="3">SUM(F6:F12)</f>
        <v>14844176</v>
      </c>
      <c r="G13" s="93">
        <f t="shared" si="3"/>
        <v>22529181</v>
      </c>
      <c r="H13" s="93">
        <f t="shared" si="3"/>
        <v>17147238</v>
      </c>
      <c r="I13" s="93">
        <f t="shared" si="3"/>
        <v>5286250</v>
      </c>
      <c r="J13" s="93">
        <f t="shared" si="3"/>
        <v>3293308</v>
      </c>
      <c r="K13" s="93">
        <f t="shared" si="3"/>
        <v>6545203</v>
      </c>
      <c r="L13" s="93">
        <f t="shared" si="3"/>
        <v>3262</v>
      </c>
      <c r="M13" s="93">
        <f t="shared" si="3"/>
        <v>0</v>
      </c>
      <c r="N13" s="93">
        <f t="shared" si="3"/>
        <v>0</v>
      </c>
      <c r="O13" s="93">
        <f t="shared" si="3"/>
        <v>0</v>
      </c>
      <c r="P13" s="93">
        <f t="shared" si="3"/>
        <v>0</v>
      </c>
      <c r="Q13" s="93">
        <f t="shared" si="3"/>
        <v>0</v>
      </c>
    </row>
    <row r="14" spans="1:19" ht="37.5" customHeight="1">
      <c r="B14" s="79" t="s">
        <v>11</v>
      </c>
      <c r="C14" s="62"/>
      <c r="D14" s="211" t="s">
        <v>190</v>
      </c>
      <c r="E14" s="212"/>
      <c r="F14" s="94">
        <f>F5</f>
        <v>43496</v>
      </c>
      <c r="G14" s="94">
        <f>G5</f>
        <v>43524</v>
      </c>
      <c r="H14" s="94">
        <f t="shared" ref="H14:Q14" si="4">H5</f>
        <v>43555</v>
      </c>
      <c r="I14" s="94">
        <f t="shared" si="4"/>
        <v>43585</v>
      </c>
      <c r="J14" s="94">
        <f t="shared" si="4"/>
        <v>43616</v>
      </c>
      <c r="K14" s="94">
        <f t="shared" si="4"/>
        <v>43646</v>
      </c>
      <c r="L14" s="94">
        <f t="shared" si="4"/>
        <v>43677</v>
      </c>
      <c r="M14" s="94">
        <f t="shared" si="4"/>
        <v>43708</v>
      </c>
      <c r="N14" s="94">
        <f t="shared" si="4"/>
        <v>43738</v>
      </c>
      <c r="O14" s="94">
        <f t="shared" si="4"/>
        <v>43769</v>
      </c>
      <c r="P14" s="94">
        <f t="shared" si="4"/>
        <v>43799</v>
      </c>
      <c r="Q14" s="94">
        <f t="shared" si="4"/>
        <v>43830</v>
      </c>
    </row>
    <row r="15" spans="1:19" ht="15.95" customHeight="1">
      <c r="A15" s="9">
        <f>A13+1</f>
        <v>9</v>
      </c>
      <c r="B15" s="2" t="s">
        <v>3</v>
      </c>
      <c r="C15" s="1"/>
      <c r="D15" s="208">
        <f t="shared" ref="D15:D22" si="5">SUM(F15:K15)</f>
        <v>56759586</v>
      </c>
      <c r="E15" s="208"/>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08">
        <f t="shared" si="5"/>
        <v>-27453927</v>
      </c>
      <c r="E16" s="208"/>
      <c r="F16" s="95">
        <f>'Input Tab'!C6</f>
        <v>-5410854</v>
      </c>
      <c r="G16" s="95">
        <f>'Input Tab'!D6</f>
        <v>-3688134</v>
      </c>
      <c r="H16" s="95">
        <f>'Input Tab'!E6</f>
        <v>-4363041</v>
      </c>
      <c r="I16" s="95">
        <f>'Input Tab'!F6</f>
        <v>-6216672</v>
      </c>
      <c r="J16" s="95">
        <f>'Input Tab'!G6</f>
        <v>-3992970</v>
      </c>
      <c r="K16" s="95">
        <f>'Input Tab'!H6</f>
        <v>-3782256</v>
      </c>
      <c r="L16" s="95">
        <f>'Input Tab'!I6</f>
        <v>-5325599</v>
      </c>
      <c r="M16" s="95">
        <f>'Input Tab'!J6</f>
        <v>-3215251</v>
      </c>
      <c r="N16" s="95">
        <f>'Input Tab'!K6</f>
        <v>-4016772</v>
      </c>
      <c r="O16" s="95">
        <f>'Input Tab'!L6</f>
        <v>-3304259</v>
      </c>
      <c r="P16" s="95">
        <f>'Input Tab'!M6</f>
        <v>-4468025</v>
      </c>
      <c r="Q16" s="95">
        <f>'Input Tab'!N6</f>
        <v>-6320023</v>
      </c>
      <c r="R16" s="44"/>
      <c r="S16" s="6"/>
    </row>
    <row r="17" spans="1:19" ht="15.95" customHeight="1">
      <c r="A17" s="9">
        <f>A16+1</f>
        <v>11</v>
      </c>
      <c r="B17" s="2" t="s">
        <v>4</v>
      </c>
      <c r="C17" s="1"/>
      <c r="D17" s="208">
        <f t="shared" si="5"/>
        <v>13734305</v>
      </c>
      <c r="E17" s="208"/>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08">
        <f t="shared" si="5"/>
        <v>29516078</v>
      </c>
      <c r="E18" s="208"/>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08">
        <f t="shared" si="5"/>
        <v>-7211612</v>
      </c>
      <c r="E19" s="208"/>
      <c r="F19" s="95">
        <f>'Input Tab'!C9</f>
        <v>-1062694</v>
      </c>
      <c r="G19" s="95">
        <f>'Input Tab'!D9</f>
        <v>-1178481</v>
      </c>
      <c r="H19" s="95">
        <f>'Input Tab'!E9</f>
        <v>-1177115</v>
      </c>
      <c r="I19" s="95">
        <f>'Input Tab'!F9</f>
        <v>-1141305</v>
      </c>
      <c r="J19" s="95">
        <f>'Input Tab'!G9</f>
        <v>-1253488</v>
      </c>
      <c r="K19" s="95">
        <f>'Input Tab'!H9</f>
        <v>-1398529</v>
      </c>
      <c r="L19" s="95">
        <f>'Input Tab'!I9</f>
        <v>-1450378</v>
      </c>
      <c r="M19" s="95">
        <f>'Input Tab'!J9</f>
        <v>-1346819</v>
      </c>
      <c r="N19" s="95">
        <f>'Input Tab'!K9</f>
        <v>-1372213</v>
      </c>
      <c r="O19" s="95">
        <f>'Input Tab'!L9</f>
        <v>-1319316</v>
      </c>
      <c r="P19" s="95">
        <f>'Input Tab'!M9</f>
        <v>-1257650</v>
      </c>
      <c r="Q19" s="95">
        <f>'Input Tab'!N9</f>
        <v>-1191496</v>
      </c>
      <c r="R19" s="44"/>
    </row>
    <row r="20" spans="1:19" ht="15.95" customHeight="1">
      <c r="A20" s="9">
        <f t="shared" si="6"/>
        <v>14</v>
      </c>
      <c r="B20" s="2" t="s">
        <v>36</v>
      </c>
      <c r="C20" s="1"/>
      <c r="D20" s="208">
        <f t="shared" si="5"/>
        <v>8671290</v>
      </c>
      <c r="E20" s="208"/>
      <c r="F20" s="96">
        <f>'Input Tab'!C10</f>
        <v>1386858</v>
      </c>
      <c r="G20" s="96">
        <f>'Input Tab'!D10</f>
        <v>1618473</v>
      </c>
      <c r="H20" s="96">
        <f>'Input Tab'!E10</f>
        <v>1456728</v>
      </c>
      <c r="I20" s="96">
        <f>'Input Tab'!F10</f>
        <v>1423781</v>
      </c>
      <c r="J20" s="96">
        <f>'Input Tab'!G10</f>
        <v>1394142</v>
      </c>
      <c r="K20" s="96">
        <f>'Input Tab'!H10</f>
        <v>1391308</v>
      </c>
      <c r="L20" s="96">
        <f>'Input Tab'!I10</f>
        <v>1452951</v>
      </c>
      <c r="M20" s="96">
        <f>'Input Tab'!J10</f>
        <v>1443202</v>
      </c>
      <c r="N20" s="96">
        <f>'Input Tab'!K10</f>
        <v>1567441</v>
      </c>
      <c r="O20" s="96">
        <f>'Input Tab'!L10</f>
        <v>1406861</v>
      </c>
      <c r="P20" s="96">
        <f>'Input Tab'!M10</f>
        <v>1416449</v>
      </c>
      <c r="Q20" s="96">
        <f>'Input Tab'!N10</f>
        <v>1446134</v>
      </c>
      <c r="R20" s="44"/>
    </row>
    <row r="21" spans="1:19" ht="15.95" customHeight="1">
      <c r="A21" s="9">
        <f t="shared" si="6"/>
        <v>15</v>
      </c>
      <c r="B21" s="2" t="s">
        <v>37</v>
      </c>
      <c r="D21" s="208">
        <f t="shared" si="5"/>
        <v>205500</v>
      </c>
      <c r="E21" s="208"/>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169</v>
      </c>
      <c r="D22" s="208">
        <f t="shared" si="5"/>
        <v>-1511484</v>
      </c>
      <c r="E22" s="208"/>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2" t="s">
        <v>7</v>
      </c>
      <c r="C23" s="92"/>
      <c r="D23" s="202">
        <f>SUM(D15:E22)</f>
        <v>72709736</v>
      </c>
      <c r="E23" s="202"/>
      <c r="F23" s="97">
        <f>SUM(F15:F22)</f>
        <v>18199665</v>
      </c>
      <c r="G23" s="97">
        <f t="shared" ref="G23:Q23" si="7">SUM(G15:G22)</f>
        <v>17200889</v>
      </c>
      <c r="H23" s="97">
        <f t="shared" si="7"/>
        <v>15081709</v>
      </c>
      <c r="I23" s="97">
        <f t="shared" si="7"/>
        <v>10233296</v>
      </c>
      <c r="J23" s="97">
        <f t="shared" si="7"/>
        <v>6111472</v>
      </c>
      <c r="K23" s="97">
        <f t="shared" si="7"/>
        <v>5882705</v>
      </c>
      <c r="L23" s="97">
        <f t="shared" si="7"/>
        <v>9699295</v>
      </c>
      <c r="M23" s="97">
        <f t="shared" si="7"/>
        <v>14547927</v>
      </c>
      <c r="N23" s="97">
        <f t="shared" si="7"/>
        <v>12481353</v>
      </c>
      <c r="O23" s="97">
        <f t="shared" si="7"/>
        <v>13261866</v>
      </c>
      <c r="P23" s="97">
        <f t="shared" si="7"/>
        <v>16244124</v>
      </c>
      <c r="Q23" s="97">
        <f t="shared" si="7"/>
        <v>16930995</v>
      </c>
      <c r="R23" s="44"/>
    </row>
    <row r="24" spans="1:19" ht="28.5" customHeight="1">
      <c r="A24" s="9">
        <f t="shared" si="6"/>
        <v>18</v>
      </c>
      <c r="B24" s="92" t="s">
        <v>8</v>
      </c>
      <c r="C24" s="92"/>
      <c r="D24" s="207">
        <f>SUM(F24:K24)</f>
        <v>-3064380</v>
      </c>
      <c r="E24" s="207" t="str">
        <f t="shared" ref="E24:Q24" si="8">IF(E13=0," ",E13-E23)</f>
        <v xml:space="preserve"> </v>
      </c>
      <c r="F24" s="97">
        <f t="shared" si="8"/>
        <v>-3355489</v>
      </c>
      <c r="G24" s="97">
        <f t="shared" si="8"/>
        <v>5328292</v>
      </c>
      <c r="H24" s="97">
        <f t="shared" si="8"/>
        <v>2065529</v>
      </c>
      <c r="I24" s="97">
        <f t="shared" si="8"/>
        <v>-4947046</v>
      </c>
      <c r="J24" s="97">
        <f t="shared" si="8"/>
        <v>-2818164</v>
      </c>
      <c r="K24" s="97">
        <f t="shared" si="8"/>
        <v>662498</v>
      </c>
      <c r="L24" s="97">
        <f t="shared" si="8"/>
        <v>-9696033</v>
      </c>
      <c r="M24" s="97" t="str">
        <f t="shared" si="8"/>
        <v xml:space="preserve"> </v>
      </c>
      <c r="N24" s="97" t="str">
        <f t="shared" si="8"/>
        <v xml:space="preserve"> </v>
      </c>
      <c r="O24" s="97" t="str">
        <f t="shared" si="8"/>
        <v xml:space="preserve"> </v>
      </c>
      <c r="P24" s="97" t="str">
        <f t="shared" si="8"/>
        <v xml:space="preserve"> </v>
      </c>
      <c r="Q24" s="97" t="str">
        <f t="shared" si="8"/>
        <v xml:space="preserve"> </v>
      </c>
    </row>
    <row r="25" spans="1:19" ht="26.25" customHeight="1">
      <c r="A25" s="9">
        <f t="shared" si="6"/>
        <v>19</v>
      </c>
      <c r="B25" s="29" t="s">
        <v>123</v>
      </c>
      <c r="C25" s="29"/>
      <c r="D25" s="201">
        <f>SUM(F25:Q25)</f>
        <v>-1839983</v>
      </c>
      <c r="E25" s="201"/>
      <c r="F25" s="30">
        <f>'WA Monthly'!E138</f>
        <v>738821</v>
      </c>
      <c r="G25" s="30">
        <f>'WA Monthly'!F138</f>
        <v>-2484774</v>
      </c>
      <c r="H25" s="30">
        <f>'WA Monthly'!G138</f>
        <v>2619748</v>
      </c>
      <c r="I25" s="30">
        <f>'WA Monthly'!H138</f>
        <v>-439038</v>
      </c>
      <c r="J25" s="30">
        <f>'WA Monthly'!I138</f>
        <v>-1100871</v>
      </c>
      <c r="K25" s="30">
        <f>'WA Monthly'!J138</f>
        <v>-1173869</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01" t="e">
        <f>SUM(F26:Q26)</f>
        <v>#VALUE!</v>
      </c>
      <c r="E26" s="201"/>
      <c r="F26" s="30">
        <f>+F24+F25</f>
        <v>-2616668</v>
      </c>
      <c r="G26" s="30">
        <f t="shared" ref="G26:Q26" si="9">IF(G13=0,0,+G24+G25)</f>
        <v>2843518</v>
      </c>
      <c r="H26" s="30">
        <f t="shared" si="9"/>
        <v>4685277</v>
      </c>
      <c r="I26" s="30">
        <f t="shared" si="9"/>
        <v>-5386084</v>
      </c>
      <c r="J26" s="30">
        <f t="shared" si="9"/>
        <v>-3919035</v>
      </c>
      <c r="K26" s="30">
        <f t="shared" si="9"/>
        <v>-511371</v>
      </c>
      <c r="L26" s="30" t="e">
        <f t="shared" si="9"/>
        <v>#VALUE!</v>
      </c>
      <c r="M26" s="30">
        <f t="shared" si="9"/>
        <v>0</v>
      </c>
      <c r="N26" s="30">
        <f t="shared" si="9"/>
        <v>0</v>
      </c>
      <c r="O26" s="30">
        <f t="shared" si="9"/>
        <v>0</v>
      </c>
      <c r="P26" s="30">
        <f t="shared" si="9"/>
        <v>0</v>
      </c>
      <c r="Q26" s="30">
        <f t="shared" si="9"/>
        <v>0</v>
      </c>
    </row>
    <row r="27" spans="1:19" ht="18.75" customHeight="1">
      <c r="A27" s="9">
        <f t="shared" si="6"/>
        <v>21</v>
      </c>
      <c r="B27" s="2" t="s">
        <v>71</v>
      </c>
      <c r="D27" s="14"/>
      <c r="E27" s="14"/>
      <c r="F27" s="98">
        <f>'Input Tab'!C13</f>
        <v>0.6573</v>
      </c>
      <c r="G27" s="98">
        <f>'Input Tab'!D13</f>
        <v>0.6573</v>
      </c>
      <c r="H27" s="98">
        <f>'Input Tab'!E13</f>
        <v>0.6573</v>
      </c>
      <c r="I27" s="98">
        <f>'Input Tab'!F13</f>
        <v>0.6573</v>
      </c>
      <c r="J27" s="98">
        <f>'Input Tab'!G13</f>
        <v>0.6573</v>
      </c>
      <c r="K27" s="98">
        <f>'Input Tab'!H13</f>
        <v>0.6573</v>
      </c>
      <c r="L27" s="98">
        <f>'Input Tab'!I13</f>
        <v>0.6573</v>
      </c>
      <c r="M27" s="98">
        <f>'Input Tab'!J13</f>
        <v>0.6573</v>
      </c>
      <c r="N27" s="98">
        <f>'Input Tab'!K13</f>
        <v>0.6573</v>
      </c>
      <c r="O27" s="98">
        <f>'Input Tab'!L13</f>
        <v>0.6573</v>
      </c>
      <c r="P27" s="98">
        <f>'Input Tab'!M13</f>
        <v>0.6573</v>
      </c>
      <c r="Q27" s="98">
        <f>'Input Tab'!N13</f>
        <v>0.6573</v>
      </c>
    </row>
    <row r="28" spans="1:19" ht="20.25" customHeight="1">
      <c r="A28" s="9">
        <f t="shared" si="6"/>
        <v>22</v>
      </c>
      <c r="B28" s="2" t="s">
        <v>72</v>
      </c>
      <c r="D28" s="205">
        <f>SUM(F28:K28)</f>
        <v>-3223638</v>
      </c>
      <c r="E28" s="205"/>
      <c r="F28" s="99">
        <f>+F26*F27</f>
        <v>-1719936</v>
      </c>
      <c r="G28" s="99">
        <f>+G26*G27</f>
        <v>1869044</v>
      </c>
      <c r="H28" s="99">
        <f>+H26*H27</f>
        <v>3079633</v>
      </c>
      <c r="I28" s="99">
        <f t="shared" ref="I28:Q28" si="10">+I26*I27</f>
        <v>-3540273</v>
      </c>
      <c r="J28" s="99">
        <f t="shared" si="10"/>
        <v>-2575982</v>
      </c>
      <c r="K28" s="99">
        <f t="shared" si="10"/>
        <v>-336124</v>
      </c>
      <c r="L28" s="99" t="e">
        <f t="shared" si="10"/>
        <v>#VALUE!</v>
      </c>
      <c r="M28" s="99">
        <f t="shared" si="10"/>
        <v>0</v>
      </c>
      <c r="N28" s="99">
        <f t="shared" si="10"/>
        <v>0</v>
      </c>
      <c r="O28" s="99">
        <f t="shared" si="10"/>
        <v>0</v>
      </c>
      <c r="P28" s="99">
        <f t="shared" si="10"/>
        <v>0</v>
      </c>
      <c r="Q28" s="99">
        <f t="shared" si="10"/>
        <v>0</v>
      </c>
    </row>
    <row r="29" spans="1:19" ht="20.25" customHeight="1">
      <c r="A29" s="9">
        <f>A28+1</f>
        <v>23</v>
      </c>
      <c r="B29" s="2" t="s">
        <v>150</v>
      </c>
      <c r="D29" s="205">
        <f>SUM(F29:K29)</f>
        <v>0</v>
      </c>
      <c r="E29" s="205"/>
      <c r="F29" s="99">
        <f>'WA Monthly'!E136</f>
        <v>0</v>
      </c>
      <c r="G29" s="99">
        <f>'WA Monthly'!F136</f>
        <v>0</v>
      </c>
      <c r="H29" s="99">
        <f>'WA Monthly'!G136</f>
        <v>0</v>
      </c>
      <c r="I29" s="99">
        <f>'WA Monthly'!H136</f>
        <v>0</v>
      </c>
      <c r="J29" s="99">
        <f>'WA Monthly'!I136</f>
        <v>0</v>
      </c>
      <c r="K29" s="99">
        <f>'WA Monthly'!J136</f>
        <v>0</v>
      </c>
      <c r="L29" s="99">
        <f>'WA Monthly'!K136</f>
        <v>0</v>
      </c>
      <c r="M29" s="99">
        <f>'WA Monthly'!L136</f>
        <v>0</v>
      </c>
      <c r="N29" s="99">
        <f>'WA Monthly'!M136</f>
        <v>0</v>
      </c>
      <c r="O29" s="99">
        <f>'WA Monthly'!N136</f>
        <v>0</v>
      </c>
      <c r="P29" s="99">
        <f>'WA Monthly'!O136</f>
        <v>0</v>
      </c>
      <c r="Q29" s="99">
        <f>'WA Monthly'!P136</f>
        <v>0</v>
      </c>
    </row>
    <row r="30" spans="1:19" ht="29.25" customHeight="1">
      <c r="A30" s="9">
        <f t="shared" si="6"/>
        <v>24</v>
      </c>
      <c r="B30" s="199" t="s">
        <v>99</v>
      </c>
      <c r="C30" s="199"/>
      <c r="D30" s="204">
        <f>SUM(F30:Q30)</f>
        <v>-258738</v>
      </c>
      <c r="E30" s="204"/>
      <c r="F30" s="100">
        <f>'WA RRC'!B19</f>
        <v>302672</v>
      </c>
      <c r="G30" s="100">
        <f>'WA RRC'!C19</f>
        <v>-383896</v>
      </c>
      <c r="H30" s="100">
        <f>'WA RRC'!D19</f>
        <v>-614997</v>
      </c>
      <c r="I30" s="100">
        <f>'WA RRC'!E19</f>
        <v>412799</v>
      </c>
      <c r="J30" s="100">
        <f>'WA RRC'!F19</f>
        <v>112155</v>
      </c>
      <c r="K30" s="100">
        <f>'WA RRC'!G19</f>
        <v>-87471</v>
      </c>
      <c r="L30" s="100" t="str">
        <f>'WA RRC'!H19</f>
        <v xml:space="preserve"> </v>
      </c>
      <c r="M30" s="100" t="str">
        <f>'WA RRC'!I19</f>
        <v xml:space="preserve"> </v>
      </c>
      <c r="N30" s="100" t="str">
        <f>'WA RRC'!J19</f>
        <v xml:space="preserve"> </v>
      </c>
      <c r="O30" s="100" t="str">
        <f>'WA RRC'!K19</f>
        <v xml:space="preserve"> </v>
      </c>
      <c r="P30" s="100" t="str">
        <f>'WA RRC'!L19</f>
        <v xml:space="preserve"> </v>
      </c>
      <c r="Q30" s="100" t="str">
        <f>'WA RRC'!M19</f>
        <v xml:space="preserve"> </v>
      </c>
    </row>
    <row r="31" spans="1:19" ht="27" customHeight="1">
      <c r="A31" s="9">
        <f t="shared" si="6"/>
        <v>25</v>
      </c>
      <c r="B31" s="203" t="s">
        <v>62</v>
      </c>
      <c r="C31" s="203"/>
      <c r="D31" s="206">
        <f>SUM(F31:K31)</f>
        <v>-3482376</v>
      </c>
      <c r="E31" s="206"/>
      <c r="F31" s="27">
        <f>IF(F13=0," ",F28+F30+F29)</f>
        <v>-1417264</v>
      </c>
      <c r="G31" s="27">
        <f t="shared" ref="G31:Q31" si="11">IF(G13=0," ",G28+G30+G29)</f>
        <v>1485148</v>
      </c>
      <c r="H31" s="27">
        <f t="shared" si="11"/>
        <v>2464636</v>
      </c>
      <c r="I31" s="27">
        <f t="shared" si="11"/>
        <v>-3127474</v>
      </c>
      <c r="J31" s="27">
        <f t="shared" si="11"/>
        <v>-2463827</v>
      </c>
      <c r="K31" s="27">
        <f t="shared" si="11"/>
        <v>-423595</v>
      </c>
      <c r="L31" s="27" t="e">
        <f t="shared" si="11"/>
        <v>#VALUE!</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00" t="s">
        <v>122</v>
      </c>
      <c r="C32" s="200"/>
      <c r="D32" s="42"/>
      <c r="E32" s="42"/>
      <c r="F32" s="27"/>
      <c r="G32" s="27"/>
      <c r="H32" s="27"/>
      <c r="I32" s="27"/>
      <c r="J32" s="27"/>
      <c r="K32" s="27"/>
      <c r="L32" s="101">
        <v>0</v>
      </c>
      <c r="M32" s="27"/>
      <c r="N32" s="27"/>
      <c r="O32" s="27"/>
      <c r="P32" s="27"/>
      <c r="Q32" s="27"/>
    </row>
    <row r="33" spans="1:19" ht="28.5" customHeight="1">
      <c r="A33" s="9">
        <f t="shared" si="6"/>
        <v>27</v>
      </c>
      <c r="B33" s="92" t="s">
        <v>115</v>
      </c>
      <c r="C33" s="92"/>
      <c r="D33" s="71"/>
      <c r="E33" s="71"/>
      <c r="F33" s="13">
        <f>IF(F13=0," ",F31)</f>
        <v>-1417264</v>
      </c>
      <c r="G33" s="13">
        <f t="shared" ref="G33:Q33" si="12">IF(G13=0," ",+F33+G31)</f>
        <v>67884</v>
      </c>
      <c r="H33" s="13">
        <f t="shared" si="12"/>
        <v>2532520</v>
      </c>
      <c r="I33" s="13">
        <f t="shared" si="12"/>
        <v>-594954</v>
      </c>
      <c r="J33" s="13">
        <f t="shared" si="12"/>
        <v>-3058781</v>
      </c>
      <c r="K33" s="13">
        <f t="shared" si="12"/>
        <v>-3482376</v>
      </c>
      <c r="L33" s="13" t="e">
        <f t="shared" si="12"/>
        <v>#VALUE!</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2">
        <v>10000000</v>
      </c>
      <c r="C34" s="103" t="s">
        <v>34</v>
      </c>
      <c r="D34" s="72">
        <v>0.9</v>
      </c>
      <c r="E34" s="72">
        <v>0.9</v>
      </c>
      <c r="F34" s="14">
        <f t="shared" ref="F34:Q34" si="13">IF(F13=0," ",IF(ABS(F$33)&lt;$B34,0,(ABS(F$33)-$B34)*SIGN(F$33)))</f>
        <v>0</v>
      </c>
      <c r="G34" s="14">
        <f t="shared" si="13"/>
        <v>0</v>
      </c>
      <c r="H34" s="14">
        <f t="shared" si="13"/>
        <v>0</v>
      </c>
      <c r="I34" s="14">
        <f t="shared" si="13"/>
        <v>0</v>
      </c>
      <c r="J34" s="14">
        <f t="shared" si="13"/>
        <v>0</v>
      </c>
      <c r="K34" s="14">
        <f t="shared" si="13"/>
        <v>0</v>
      </c>
      <c r="L34" s="14" t="e">
        <f t="shared" si="13"/>
        <v>#VALUE!</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04"/>
    </row>
    <row r="35" spans="1:19" ht="19.5" hidden="1" customHeight="1" outlineLevel="1">
      <c r="A35" s="2" t="s">
        <v>33</v>
      </c>
      <c r="B35" s="102">
        <v>4000000</v>
      </c>
      <c r="C35" s="103"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f t="shared" si="14"/>
        <v>0</v>
      </c>
      <c r="L35" s="14" t="e">
        <f t="shared" si="14"/>
        <v>#VALUE!</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04"/>
    </row>
    <row r="36" spans="1:19" ht="21.75" hidden="1" customHeight="1" outlineLevel="1">
      <c r="A36" s="2" t="s">
        <v>33</v>
      </c>
      <c r="B36" s="102">
        <v>0</v>
      </c>
      <c r="C36" s="103"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f t="shared" si="15"/>
        <v>-3482376</v>
      </c>
      <c r="L36" s="14" t="e">
        <f t="shared" si="15"/>
        <v>#VALUE!</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5"/>
      <c r="C37" s="2" t="s">
        <v>35</v>
      </c>
      <c r="D37" s="73"/>
      <c r="E37" s="73"/>
      <c r="F37" s="74">
        <f t="shared" ref="F37:Q37" si="16">IF(F13=0," ",SUM(F34:F36)-F33)</f>
        <v>0</v>
      </c>
      <c r="G37" s="74">
        <f t="shared" si="16"/>
        <v>0</v>
      </c>
      <c r="H37" s="74">
        <f t="shared" si="16"/>
        <v>0</v>
      </c>
      <c r="I37" s="74">
        <f t="shared" si="16"/>
        <v>0</v>
      </c>
      <c r="J37" s="74">
        <f t="shared" si="16"/>
        <v>0</v>
      </c>
      <c r="K37" s="74">
        <f t="shared" si="16"/>
        <v>0</v>
      </c>
      <c r="L37" s="74" t="e">
        <f t="shared" si="16"/>
        <v>#VALUE!</v>
      </c>
      <c r="M37" s="74" t="str">
        <f t="shared" si="16"/>
        <v xml:space="preserve"> </v>
      </c>
      <c r="N37" s="74" t="str">
        <f t="shared" si="16"/>
        <v xml:space="preserve"> </v>
      </c>
      <c r="O37" s="74" t="str">
        <f t="shared" si="16"/>
        <v xml:space="preserve"> </v>
      </c>
      <c r="P37" s="74" t="str">
        <f t="shared" si="16"/>
        <v xml:space="preserve"> </v>
      </c>
      <c r="Q37" s="74" t="str">
        <f t="shared" si="16"/>
        <v xml:space="preserve"> </v>
      </c>
      <c r="R37" s="12"/>
    </row>
    <row r="38" spans="1:19" ht="23.25" customHeight="1" collapsed="1">
      <c r="A38" s="2" t="s">
        <v>100</v>
      </c>
      <c r="D38" s="75"/>
      <c r="E38" s="75"/>
      <c r="F38" s="14">
        <f t="shared" ref="F38:Q38" si="17">IF(F13=0," ",SUMPRODUCT(IF(F33&gt;0,$D$34:$D$36,$E$34:$E$36),F34:F36))</f>
        <v>0</v>
      </c>
      <c r="G38" s="14">
        <f t="shared" si="17"/>
        <v>0</v>
      </c>
      <c r="H38" s="14">
        <f t="shared" si="17"/>
        <v>0</v>
      </c>
      <c r="I38" s="14">
        <f t="shared" si="17"/>
        <v>0</v>
      </c>
      <c r="J38" s="14">
        <f t="shared" si="17"/>
        <v>0</v>
      </c>
      <c r="K38" s="14">
        <f t="shared" si="17"/>
        <v>0</v>
      </c>
      <c r="L38" s="14" t="e">
        <f t="shared" si="17"/>
        <v>#VALUE!</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101</v>
      </c>
    </row>
    <row r="39" spans="1:19" ht="20.25" customHeight="1">
      <c r="A39" s="2" t="s">
        <v>151</v>
      </c>
      <c r="D39" s="76"/>
      <c r="E39" s="76"/>
      <c r="F39" s="14">
        <f>IF(F13=0," ",F38-D38)</f>
        <v>0</v>
      </c>
      <c r="G39" s="14">
        <f t="shared" ref="G39:Q39" si="18">IF(G13=0," ",G38-F38)</f>
        <v>0</v>
      </c>
      <c r="H39" s="14">
        <f t="shared" si="18"/>
        <v>0</v>
      </c>
      <c r="I39" s="14">
        <f t="shared" si="18"/>
        <v>0</v>
      </c>
      <c r="J39" s="14">
        <f t="shared" si="18"/>
        <v>0</v>
      </c>
      <c r="K39" s="14">
        <f t="shared" si="18"/>
        <v>0</v>
      </c>
      <c r="L39" s="14" t="e">
        <f t="shared" si="18"/>
        <v>#VALUE!</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00" t="s">
        <v>103</v>
      </c>
      <c r="B40" s="200"/>
      <c r="C40" s="200"/>
      <c r="D40" s="206">
        <f>SUM(F40:K40)</f>
        <v>0</v>
      </c>
      <c r="E40" s="206"/>
      <c r="F40" s="16">
        <f t="shared" ref="F40:Q40" si="19">IF(F13=0," ",-F39)</f>
        <v>0</v>
      </c>
      <c r="G40" s="16">
        <f t="shared" si="19"/>
        <v>0</v>
      </c>
      <c r="H40" s="16">
        <f t="shared" si="19"/>
        <v>0</v>
      </c>
      <c r="I40" s="16">
        <f t="shared" si="19"/>
        <v>0</v>
      </c>
      <c r="J40" s="16">
        <f t="shared" si="19"/>
        <v>0</v>
      </c>
      <c r="K40" s="16">
        <f t="shared" si="19"/>
        <v>0</v>
      </c>
      <c r="L40" s="16" t="e">
        <f t="shared" si="19"/>
        <v>#VALUE!</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198" t="s">
        <v>38</v>
      </c>
      <c r="B41" s="198"/>
      <c r="C41" s="198"/>
      <c r="D41" s="77"/>
      <c r="E41" s="77"/>
      <c r="F41" s="18">
        <f t="shared" ref="F41:Q41" si="20">IF(F13=0," ",F33-F38)</f>
        <v>-1417264</v>
      </c>
      <c r="G41" s="18">
        <f t="shared" si="20"/>
        <v>67884</v>
      </c>
      <c r="H41" s="18">
        <f t="shared" si="20"/>
        <v>2532520</v>
      </c>
      <c r="I41" s="18">
        <f t="shared" si="20"/>
        <v>-594954</v>
      </c>
      <c r="J41" s="18">
        <f t="shared" si="20"/>
        <v>-3058781</v>
      </c>
      <c r="K41" s="18">
        <f t="shared" si="20"/>
        <v>-3482376</v>
      </c>
      <c r="L41" s="18" t="e">
        <f t="shared" si="20"/>
        <v>#VALUE!</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1"/>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G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73</v>
      </c>
      <c r="B1" s="217"/>
      <c r="C1" s="217"/>
      <c r="D1" s="217"/>
      <c r="E1" s="217"/>
      <c r="F1" s="217"/>
      <c r="G1" s="217"/>
      <c r="H1" s="217"/>
      <c r="I1" s="217"/>
      <c r="J1" s="217"/>
      <c r="K1" s="217"/>
      <c r="L1" s="217"/>
      <c r="M1" s="217"/>
      <c r="N1" s="217"/>
      <c r="O1" s="217"/>
      <c r="P1" s="217"/>
      <c r="Q1" s="217"/>
      <c r="R1" s="217"/>
    </row>
    <row r="2" spans="1:18">
      <c r="A2" s="217" t="s">
        <v>86</v>
      </c>
      <c r="B2" s="217"/>
      <c r="C2" s="217"/>
      <c r="D2" s="217"/>
      <c r="E2" s="217"/>
      <c r="F2" s="217"/>
      <c r="G2" s="217"/>
      <c r="H2" s="217"/>
      <c r="I2" s="217"/>
      <c r="J2" s="217"/>
      <c r="K2" s="217"/>
      <c r="L2" s="217"/>
      <c r="M2" s="217"/>
      <c r="N2" s="217"/>
      <c r="O2" s="217"/>
      <c r="P2" s="217"/>
      <c r="Q2" s="217"/>
      <c r="R2" s="217"/>
    </row>
    <row r="3" spans="1:18" ht="38.25" customHeight="1">
      <c r="A3" s="4"/>
    </row>
    <row r="4" spans="1:18">
      <c r="A4" s="69" t="s">
        <v>0</v>
      </c>
      <c r="E4" s="112"/>
      <c r="F4" s="112"/>
      <c r="G4" s="112"/>
      <c r="H4" s="112"/>
      <c r="I4" s="112"/>
      <c r="J4" s="112"/>
      <c r="K4" s="112"/>
      <c r="L4" s="112"/>
      <c r="M4" s="112"/>
      <c r="N4" s="112"/>
      <c r="O4" s="112"/>
      <c r="P4" s="112"/>
    </row>
    <row r="5" spans="1:18">
      <c r="A5" s="113" t="s">
        <v>1</v>
      </c>
      <c r="C5" s="4" t="s">
        <v>90</v>
      </c>
      <c r="D5" s="114" t="s">
        <v>9</v>
      </c>
      <c r="E5" s="91">
        <v>43496</v>
      </c>
      <c r="F5" s="91">
        <f t="shared" ref="F5:P5" si="0">EOMONTH(E5,1)</f>
        <v>43524</v>
      </c>
      <c r="G5" s="91">
        <f t="shared" si="0"/>
        <v>43555</v>
      </c>
      <c r="H5" s="91">
        <f t="shared" si="0"/>
        <v>43585</v>
      </c>
      <c r="I5" s="91">
        <f t="shared" si="0"/>
        <v>43616</v>
      </c>
      <c r="J5" s="91">
        <f t="shared" si="0"/>
        <v>43646</v>
      </c>
      <c r="K5" s="91">
        <f t="shared" si="0"/>
        <v>43677</v>
      </c>
      <c r="L5" s="91">
        <f t="shared" si="0"/>
        <v>43708</v>
      </c>
      <c r="M5" s="91">
        <f t="shared" si="0"/>
        <v>43738</v>
      </c>
      <c r="N5" s="91">
        <f t="shared" si="0"/>
        <v>43769</v>
      </c>
      <c r="O5" s="91">
        <f t="shared" si="0"/>
        <v>43799</v>
      </c>
      <c r="P5" s="91">
        <f t="shared" si="0"/>
        <v>43830</v>
      </c>
      <c r="Q5" s="115"/>
      <c r="R5" s="91" t="s">
        <v>67</v>
      </c>
    </row>
    <row r="6" spans="1:18">
      <c r="A6" s="69"/>
      <c r="B6" s="53" t="s">
        <v>12</v>
      </c>
      <c r="C6" s="59"/>
    </row>
    <row r="7" spans="1:18">
      <c r="A7" s="69">
        <f>A6+1</f>
        <v>1</v>
      </c>
      <c r="B7" s="3" t="s">
        <v>102</v>
      </c>
      <c r="C7" s="28"/>
      <c r="D7" s="19">
        <f>SUM(E7:P7)</f>
        <v>19409169</v>
      </c>
      <c r="E7" s="19">
        <f>E23-SUM(E8:E22)</f>
        <v>2854577</v>
      </c>
      <c r="F7" s="19">
        <f t="shared" ref="F7:P7" si="1">F23-SUM(F8:F22)</f>
        <v>3156734</v>
      </c>
      <c r="G7" s="19">
        <f t="shared" si="1"/>
        <v>7001996</v>
      </c>
      <c r="H7" s="19">
        <f t="shared" si="1"/>
        <v>1757522</v>
      </c>
      <c r="I7" s="19">
        <f t="shared" si="1"/>
        <v>2214282</v>
      </c>
      <c r="J7" s="19">
        <f t="shared" si="1"/>
        <v>2424058</v>
      </c>
      <c r="K7" s="19">
        <f t="shared" si="1"/>
        <v>0</v>
      </c>
      <c r="L7" s="19">
        <f t="shared" si="1"/>
        <v>0</v>
      </c>
      <c r="M7" s="19">
        <f t="shared" si="1"/>
        <v>0</v>
      </c>
      <c r="N7" s="19">
        <f t="shared" si="1"/>
        <v>0</v>
      </c>
      <c r="O7" s="19">
        <f t="shared" si="1"/>
        <v>0</v>
      </c>
      <c r="P7" s="19">
        <f t="shared" si="1"/>
        <v>0</v>
      </c>
      <c r="Q7" s="45"/>
      <c r="R7" s="116">
        <f t="shared" ref="R7:R22" si="2">SUM(E7:P7)</f>
        <v>19409169</v>
      </c>
    </row>
    <row r="8" spans="1:18">
      <c r="A8" s="69">
        <v>2</v>
      </c>
      <c r="B8" s="117" t="s">
        <v>107</v>
      </c>
      <c r="C8" s="118">
        <v>100096</v>
      </c>
      <c r="D8" s="19">
        <f t="shared" ref="D8:D22" si="3">SUM(E8:P8)</f>
        <v>7666710</v>
      </c>
      <c r="E8" s="119">
        <f>'Input Tab'!C19</f>
        <v>1277785</v>
      </c>
      <c r="F8" s="119">
        <f>'Input Tab'!D19</f>
        <v>1277785</v>
      </c>
      <c r="G8" s="119">
        <f>'Input Tab'!E19</f>
        <v>1277785</v>
      </c>
      <c r="H8" s="119">
        <f>'Input Tab'!F19</f>
        <v>1277785</v>
      </c>
      <c r="I8" s="119">
        <f>'Input Tab'!G19</f>
        <v>1277785</v>
      </c>
      <c r="J8" s="119">
        <f>'Input Tab'!H19</f>
        <v>1277785</v>
      </c>
      <c r="K8" s="119">
        <f>'Input Tab'!I19</f>
        <v>0</v>
      </c>
      <c r="L8" s="119">
        <f>'Input Tab'!J19</f>
        <v>0</v>
      </c>
      <c r="M8" s="119">
        <f>'Input Tab'!K19</f>
        <v>0</v>
      </c>
      <c r="N8" s="119">
        <f>'Input Tab'!L19</f>
        <v>0</v>
      </c>
      <c r="O8" s="119">
        <f>'Input Tab'!M19</f>
        <v>0</v>
      </c>
      <c r="P8" s="119">
        <f>'Input Tab'!N19</f>
        <v>0</v>
      </c>
      <c r="Q8" s="45"/>
      <c r="R8" s="116">
        <f t="shared" si="2"/>
        <v>7666710</v>
      </c>
    </row>
    <row r="9" spans="1:18">
      <c r="A9" s="69">
        <v>3</v>
      </c>
      <c r="B9" s="117" t="s">
        <v>108</v>
      </c>
      <c r="C9" s="118">
        <v>107240</v>
      </c>
      <c r="D9" s="19">
        <f t="shared" si="3"/>
        <v>342156</v>
      </c>
      <c r="E9" s="119">
        <f>'Input Tab'!C20</f>
        <v>63699</v>
      </c>
      <c r="F9" s="119">
        <f>'Input Tab'!D20</f>
        <v>55709</v>
      </c>
      <c r="G9" s="119">
        <f>'Input Tab'!E20</f>
        <v>57590</v>
      </c>
      <c r="H9" s="119">
        <f>'Input Tab'!F20</f>
        <v>39998</v>
      </c>
      <c r="I9" s="119">
        <f>'Input Tab'!G20</f>
        <v>67634</v>
      </c>
      <c r="J9" s="119">
        <f>'Input Tab'!H20</f>
        <v>57526</v>
      </c>
      <c r="K9" s="119">
        <f>'Input Tab'!I20</f>
        <v>0</v>
      </c>
      <c r="L9" s="119">
        <f>'Input Tab'!J20</f>
        <v>0</v>
      </c>
      <c r="M9" s="119">
        <f>'Input Tab'!K20</f>
        <v>0</v>
      </c>
      <c r="N9" s="119">
        <f>'Input Tab'!L20</f>
        <v>0</v>
      </c>
      <c r="O9" s="119">
        <f>'Input Tab'!M20</f>
        <v>0</v>
      </c>
      <c r="P9" s="119">
        <f>'Input Tab'!N20</f>
        <v>0</v>
      </c>
      <c r="Q9" s="45"/>
      <c r="R9" s="116">
        <f>SUM(E9:P9)</f>
        <v>342156</v>
      </c>
    </row>
    <row r="10" spans="1:18">
      <c r="A10" s="69">
        <v>4</v>
      </c>
      <c r="B10" s="3" t="s">
        <v>111</v>
      </c>
      <c r="C10" s="28">
        <v>100131</v>
      </c>
      <c r="D10" s="19">
        <f t="shared" si="3"/>
        <v>917688</v>
      </c>
      <c r="E10" s="119">
        <f>'Input Tab'!C21</f>
        <v>152948</v>
      </c>
      <c r="F10" s="119">
        <f>'Input Tab'!D21</f>
        <v>152948</v>
      </c>
      <c r="G10" s="119">
        <f>'Input Tab'!E21</f>
        <v>152948</v>
      </c>
      <c r="H10" s="119">
        <f>'Input Tab'!F21</f>
        <v>152948</v>
      </c>
      <c r="I10" s="119">
        <f>'Input Tab'!G21</f>
        <v>152948</v>
      </c>
      <c r="J10" s="119">
        <f>'Input Tab'!H21</f>
        <v>152948</v>
      </c>
      <c r="K10" s="119">
        <f>'Input Tab'!I21</f>
        <v>0</v>
      </c>
      <c r="L10" s="119">
        <f>'Input Tab'!J21</f>
        <v>0</v>
      </c>
      <c r="M10" s="119">
        <f>'Input Tab'!K21</f>
        <v>0</v>
      </c>
      <c r="N10" s="119">
        <f>'Input Tab'!L21</f>
        <v>0</v>
      </c>
      <c r="O10" s="119">
        <f>'Input Tab'!M21</f>
        <v>0</v>
      </c>
      <c r="P10" s="119">
        <f>'Input Tab'!N21</f>
        <v>0</v>
      </c>
      <c r="Q10" s="45"/>
      <c r="R10" s="116">
        <f t="shared" si="2"/>
        <v>917688</v>
      </c>
    </row>
    <row r="11" spans="1:18" ht="13.5" customHeight="1">
      <c r="A11" s="69">
        <v>5</v>
      </c>
      <c r="B11" s="3" t="s">
        <v>109</v>
      </c>
      <c r="C11" s="28">
        <v>100085</v>
      </c>
      <c r="D11" s="19">
        <f t="shared" si="3"/>
        <v>4778832</v>
      </c>
      <c r="E11" s="120">
        <f>'Input Tab'!C22</f>
        <v>776466</v>
      </c>
      <c r="F11" s="120">
        <f>'Input Tab'!D22</f>
        <v>776466</v>
      </c>
      <c r="G11" s="120">
        <f>'Input Tab'!E22</f>
        <v>776466</v>
      </c>
      <c r="H11" s="120">
        <f>'Input Tab'!F22</f>
        <v>896502</v>
      </c>
      <c r="I11" s="120">
        <f>'Input Tab'!G22</f>
        <v>776466</v>
      </c>
      <c r="J11" s="120">
        <f>'Input Tab'!H22</f>
        <v>776466</v>
      </c>
      <c r="K11" s="120">
        <f>'Input Tab'!I22</f>
        <v>0</v>
      </c>
      <c r="L11" s="120">
        <f>'Input Tab'!J22</f>
        <v>0</v>
      </c>
      <c r="M11" s="120">
        <f>'Input Tab'!K22</f>
        <v>0</v>
      </c>
      <c r="N11" s="120">
        <f>'Input Tab'!L22</f>
        <v>0</v>
      </c>
      <c r="O11" s="120">
        <f>'Input Tab'!M22</f>
        <v>0</v>
      </c>
      <c r="P11" s="120">
        <f>'Input Tab'!N22</f>
        <v>0</v>
      </c>
      <c r="Q11" s="45"/>
      <c r="R11" s="116">
        <f t="shared" si="2"/>
        <v>4778832</v>
      </c>
    </row>
    <row r="12" spans="1:18" ht="14.25">
      <c r="A12" s="69">
        <f>A11+1</f>
        <v>6</v>
      </c>
      <c r="B12" s="3" t="s">
        <v>110</v>
      </c>
      <c r="C12" s="80" t="s">
        <v>91</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7910918</v>
      </c>
    </row>
    <row r="13" spans="1:18">
      <c r="A13" s="69">
        <f t="shared" ref="A13:A23" si="4">A12+1</f>
        <v>7</v>
      </c>
      <c r="B13" s="4" t="s">
        <v>104</v>
      </c>
      <c r="C13" s="80">
        <v>100137</v>
      </c>
      <c r="D13" s="19">
        <f t="shared" si="3"/>
        <v>5775</v>
      </c>
      <c r="E13" s="120">
        <f>'Input Tab'!C24</f>
        <v>973</v>
      </c>
      <c r="F13" s="120">
        <f>'Input Tab'!D24</f>
        <v>1128</v>
      </c>
      <c r="G13" s="120">
        <f>'Input Tab'!E24</f>
        <v>1326</v>
      </c>
      <c r="H13" s="120">
        <f>'Input Tab'!F24</f>
        <v>1015</v>
      </c>
      <c r="I13" s="120">
        <f>'Input Tab'!G24</f>
        <v>700</v>
      </c>
      <c r="J13" s="120">
        <f>'Input Tab'!H24</f>
        <v>633</v>
      </c>
      <c r="K13" s="120">
        <f>'Input Tab'!I24</f>
        <v>0</v>
      </c>
      <c r="L13" s="120">
        <f>'Input Tab'!J24</f>
        <v>0</v>
      </c>
      <c r="M13" s="120">
        <f>'Input Tab'!K24</f>
        <v>0</v>
      </c>
      <c r="N13" s="120">
        <f>'Input Tab'!L24</f>
        <v>0</v>
      </c>
      <c r="O13" s="120">
        <f>'Input Tab'!M24</f>
        <v>0</v>
      </c>
      <c r="P13" s="120">
        <f>'Input Tab'!N24</f>
        <v>0</v>
      </c>
      <c r="Q13" s="45"/>
      <c r="R13" s="116">
        <f t="shared" si="2"/>
        <v>5775</v>
      </c>
    </row>
    <row r="14" spans="1:18">
      <c r="A14" s="69">
        <f t="shared" si="4"/>
        <v>8</v>
      </c>
      <c r="B14" s="4" t="s">
        <v>13</v>
      </c>
      <c r="C14" s="28" t="s">
        <v>148</v>
      </c>
      <c r="D14" s="19">
        <f t="shared" si="3"/>
        <v>882398</v>
      </c>
      <c r="E14" s="120">
        <f>'Input Tab'!C25</f>
        <v>137301</v>
      </c>
      <c r="F14" s="120">
        <f>'Input Tab'!D25</f>
        <v>160032</v>
      </c>
      <c r="G14" s="120">
        <f>'Input Tab'!E25</f>
        <v>130122</v>
      </c>
      <c r="H14" s="120">
        <f>'Input Tab'!F25</f>
        <v>164292</v>
      </c>
      <c r="I14" s="120">
        <f>'Input Tab'!G25</f>
        <v>134892</v>
      </c>
      <c r="J14" s="120">
        <f>'Input Tab'!H25</f>
        <v>155759</v>
      </c>
      <c r="K14" s="120">
        <f>'Input Tab'!I25</f>
        <v>0</v>
      </c>
      <c r="L14" s="120">
        <f>'Input Tab'!J25</f>
        <v>0</v>
      </c>
      <c r="M14" s="120">
        <f>'Input Tab'!K25</f>
        <v>0</v>
      </c>
      <c r="N14" s="120">
        <f>'Input Tab'!L25</f>
        <v>0</v>
      </c>
      <c r="O14" s="120">
        <f>'Input Tab'!M25</f>
        <v>0</v>
      </c>
      <c r="P14" s="120">
        <f>'Input Tab'!N25</f>
        <v>0</v>
      </c>
      <c r="Q14" s="45"/>
      <c r="R14" s="116">
        <f t="shared" si="2"/>
        <v>882398</v>
      </c>
    </row>
    <row r="15" spans="1:18">
      <c r="A15" s="69">
        <f t="shared" si="4"/>
        <v>9</v>
      </c>
      <c r="B15" s="3" t="s">
        <v>40</v>
      </c>
      <c r="C15" s="28">
        <v>185895</v>
      </c>
      <c r="D15" s="19">
        <f t="shared" si="3"/>
        <v>812066</v>
      </c>
      <c r="E15" s="120">
        <f>'Input Tab'!C35</f>
        <v>175035</v>
      </c>
      <c r="F15" s="120">
        <f>'Input Tab'!D35</f>
        <v>112639</v>
      </c>
      <c r="G15" s="120">
        <f>'Input Tab'!E35</f>
        <v>116166</v>
      </c>
      <c r="H15" s="120">
        <f>'Input Tab'!F35</f>
        <v>88987</v>
      </c>
      <c r="I15" s="120">
        <f>'Input Tab'!G35</f>
        <v>158545</v>
      </c>
      <c r="J15" s="120">
        <f>'Input Tab'!H35</f>
        <v>160694</v>
      </c>
      <c r="K15" s="120">
        <f>'Input Tab'!I35</f>
        <v>0</v>
      </c>
      <c r="L15" s="120">
        <f>'Input Tab'!J35</f>
        <v>0</v>
      </c>
      <c r="M15" s="120">
        <f>'Input Tab'!K35</f>
        <v>0</v>
      </c>
      <c r="N15" s="120">
        <f>'Input Tab'!L35</f>
        <v>0</v>
      </c>
      <c r="O15" s="120">
        <f>'Input Tab'!M35</f>
        <v>0</v>
      </c>
      <c r="P15" s="120">
        <f>'Input Tab'!N35</f>
        <v>0</v>
      </c>
      <c r="Q15" s="45"/>
      <c r="R15" s="116">
        <f t="shared" si="2"/>
        <v>812066</v>
      </c>
    </row>
    <row r="16" spans="1:18" ht="12.75" customHeight="1">
      <c r="A16" s="69">
        <f t="shared" si="4"/>
        <v>10</v>
      </c>
      <c r="B16" s="4" t="s">
        <v>89</v>
      </c>
      <c r="C16" s="28">
        <v>186298</v>
      </c>
      <c r="D16" s="19">
        <f t="shared" si="3"/>
        <v>1637876</v>
      </c>
      <c r="E16" s="120">
        <f>'Input Tab'!C36</f>
        <v>278635</v>
      </c>
      <c r="F16" s="120">
        <f>'Input Tab'!D36</f>
        <v>269107</v>
      </c>
      <c r="G16" s="120">
        <f>'Input Tab'!E36</f>
        <v>250887</v>
      </c>
      <c r="H16" s="120">
        <f>'Input Tab'!F36</f>
        <v>301774</v>
      </c>
      <c r="I16" s="120">
        <f>'Input Tab'!G36</f>
        <v>332525</v>
      </c>
      <c r="J16" s="120">
        <f>'Input Tab'!H36</f>
        <v>204948</v>
      </c>
      <c r="K16" s="120">
        <f>'Input Tab'!I36</f>
        <v>0</v>
      </c>
      <c r="L16" s="120">
        <f>'Input Tab'!J36</f>
        <v>0</v>
      </c>
      <c r="M16" s="120">
        <f>'Input Tab'!K36</f>
        <v>0</v>
      </c>
      <c r="N16" s="120">
        <f>'Input Tab'!L36</f>
        <v>0</v>
      </c>
      <c r="O16" s="120">
        <f>'Input Tab'!M36</f>
        <v>0</v>
      </c>
      <c r="P16" s="120">
        <f>'Input Tab'!N36</f>
        <v>0</v>
      </c>
      <c r="Q16" s="45"/>
      <c r="R16" s="116">
        <f t="shared" si="2"/>
        <v>1637876</v>
      </c>
    </row>
    <row r="17" spans="1:20">
      <c r="A17" s="69">
        <f>A16+1</f>
        <v>11</v>
      </c>
      <c r="B17" s="3" t="s">
        <v>117</v>
      </c>
      <c r="C17" s="28">
        <v>223063</v>
      </c>
      <c r="D17" s="19">
        <f t="shared" si="3"/>
        <v>2558580</v>
      </c>
      <c r="E17" s="120">
        <f>'Input Tab'!C37</f>
        <v>584639</v>
      </c>
      <c r="F17" s="120">
        <f>'Input Tab'!D37</f>
        <v>427257</v>
      </c>
      <c r="G17" s="120">
        <f>'Input Tab'!E37</f>
        <v>466708</v>
      </c>
      <c r="H17" s="120">
        <f>'Input Tab'!F37</f>
        <v>424403</v>
      </c>
      <c r="I17" s="120">
        <f>'Input Tab'!G37</f>
        <v>265006</v>
      </c>
      <c r="J17" s="120">
        <f>'Input Tab'!H37</f>
        <v>390567</v>
      </c>
      <c r="K17" s="120">
        <f>'Input Tab'!I37</f>
        <v>0</v>
      </c>
      <c r="L17" s="120">
        <f>'Input Tab'!J37</f>
        <v>0</v>
      </c>
      <c r="M17" s="120">
        <f>'Input Tab'!K37</f>
        <v>0</v>
      </c>
      <c r="N17" s="120">
        <f>'Input Tab'!L37</f>
        <v>0</v>
      </c>
      <c r="O17" s="120">
        <f>'Input Tab'!M37</f>
        <v>0</v>
      </c>
      <c r="P17" s="120">
        <f>'Input Tab'!N37</f>
        <v>0</v>
      </c>
      <c r="Q17" s="45"/>
      <c r="R17" s="116">
        <f t="shared" si="2"/>
        <v>2558580</v>
      </c>
    </row>
    <row r="18" spans="1:20">
      <c r="A18" s="69">
        <f>A17+1</f>
        <v>12</v>
      </c>
      <c r="B18" s="87" t="s">
        <v>181</v>
      </c>
      <c r="C18" s="28">
        <v>102475</v>
      </c>
      <c r="D18" s="19">
        <f t="shared" si="3"/>
        <v>7486</v>
      </c>
      <c r="E18" s="119">
        <f>'Input Tab'!C38</f>
        <v>1297</v>
      </c>
      <c r="F18" s="119">
        <f>'Input Tab'!D38</f>
        <v>1364</v>
      </c>
      <c r="G18" s="119">
        <f>'Input Tab'!E38</f>
        <v>1397</v>
      </c>
      <c r="H18" s="119">
        <f>'Input Tab'!F38</f>
        <v>1286</v>
      </c>
      <c r="I18" s="119">
        <f>'Input Tab'!G38</f>
        <v>955</v>
      </c>
      <c r="J18" s="119">
        <f>'Input Tab'!H38</f>
        <v>1187</v>
      </c>
      <c r="K18" s="119">
        <f>'Input Tab'!I38</f>
        <v>0</v>
      </c>
      <c r="L18" s="119">
        <f>'Input Tab'!J38</f>
        <v>0</v>
      </c>
      <c r="M18" s="119">
        <f>'Input Tab'!K38</f>
        <v>0</v>
      </c>
      <c r="N18" s="119">
        <f>'Input Tab'!L38</f>
        <v>0</v>
      </c>
      <c r="O18" s="119">
        <f>'Input Tab'!M38</f>
        <v>0</v>
      </c>
      <c r="P18" s="119">
        <f>'Input Tab'!N38</f>
        <v>0</v>
      </c>
      <c r="Q18" s="45"/>
      <c r="R18" s="116">
        <f t="shared" si="2"/>
        <v>7486</v>
      </c>
    </row>
    <row r="19" spans="1:20">
      <c r="A19" s="69">
        <f>A18+1</f>
        <v>13</v>
      </c>
      <c r="B19" s="3" t="s">
        <v>105</v>
      </c>
      <c r="C19" s="28" t="s">
        <v>106</v>
      </c>
      <c r="D19" s="19">
        <f t="shared" si="3"/>
        <v>13761129</v>
      </c>
      <c r="E19" s="119">
        <f>'Input Tab'!C39</f>
        <v>2434351</v>
      </c>
      <c r="F19" s="119">
        <f>'Input Tab'!D39</f>
        <v>2347256</v>
      </c>
      <c r="G19" s="119">
        <f>'Input Tab'!E39</f>
        <v>2433715</v>
      </c>
      <c r="H19" s="119">
        <f>'Input Tab'!F39</f>
        <v>2283549</v>
      </c>
      <c r="I19" s="119">
        <f>'Input Tab'!G39</f>
        <v>2161515</v>
      </c>
      <c r="J19" s="119">
        <f>'Input Tab'!H39</f>
        <v>2100743</v>
      </c>
      <c r="K19" s="119">
        <f>'Input Tab'!I39</f>
        <v>0</v>
      </c>
      <c r="L19" s="119">
        <f>'Input Tab'!J39</f>
        <v>0</v>
      </c>
      <c r="M19" s="119">
        <f>'Input Tab'!K39</f>
        <v>0</v>
      </c>
      <c r="N19" s="119">
        <f>'Input Tab'!L39</f>
        <v>0</v>
      </c>
      <c r="O19" s="119">
        <f>'Input Tab'!M39</f>
        <v>0</v>
      </c>
      <c r="P19" s="119">
        <f>'Input Tab'!N39</f>
        <v>0</v>
      </c>
      <c r="Q19" s="45"/>
      <c r="R19" s="116">
        <f t="shared" si="2"/>
        <v>13761129</v>
      </c>
    </row>
    <row r="20" spans="1:20">
      <c r="A20" s="69">
        <f>A19+1</f>
        <v>14</v>
      </c>
      <c r="B20" s="3" t="s">
        <v>116</v>
      </c>
      <c r="C20" s="28">
        <v>181462</v>
      </c>
      <c r="D20" s="19">
        <f t="shared" si="3"/>
        <v>10186772</v>
      </c>
      <c r="E20" s="119">
        <f>'Input Tab'!C40</f>
        <v>1921037</v>
      </c>
      <c r="F20" s="119">
        <f>'Input Tab'!D40</f>
        <v>1708936</v>
      </c>
      <c r="G20" s="119">
        <f>'Input Tab'!E40</f>
        <v>1266884</v>
      </c>
      <c r="H20" s="119">
        <f>'Input Tab'!F40</f>
        <v>2031088</v>
      </c>
      <c r="I20" s="119">
        <f>'Input Tab'!G40</f>
        <v>1632368</v>
      </c>
      <c r="J20" s="119">
        <f>'Input Tab'!H40</f>
        <v>1626459</v>
      </c>
      <c r="K20" s="119">
        <f>'Input Tab'!I40</f>
        <v>0</v>
      </c>
      <c r="L20" s="119">
        <f>'Input Tab'!J40</f>
        <v>0</v>
      </c>
      <c r="M20" s="119">
        <f>'Input Tab'!K40</f>
        <v>0</v>
      </c>
      <c r="N20" s="119">
        <f>'Input Tab'!L40</f>
        <v>0</v>
      </c>
      <c r="O20" s="119">
        <f>'Input Tab'!M40</f>
        <v>0</v>
      </c>
      <c r="P20" s="119">
        <f>'Input Tab'!N40</f>
        <v>0</v>
      </c>
      <c r="Q20" s="45"/>
      <c r="R20" s="116">
        <f t="shared" si="2"/>
        <v>10186772</v>
      </c>
    </row>
    <row r="21" spans="1:20">
      <c r="A21" s="69">
        <f>A20+1</f>
        <v>15</v>
      </c>
      <c r="B21" s="4" t="s">
        <v>28</v>
      </c>
      <c r="C21" s="80"/>
      <c r="D21" s="19">
        <f t="shared" si="3"/>
        <v>1273457</v>
      </c>
      <c r="E21" s="21">
        <f>E35</f>
        <v>214294</v>
      </c>
      <c r="F21" s="21">
        <f>F35</f>
        <v>255268</v>
      </c>
      <c r="G21" s="21">
        <f t="shared" ref="G21:P21" si="5">G35</f>
        <v>255076</v>
      </c>
      <c r="H21" s="21">
        <f t="shared" si="5"/>
        <v>175722</v>
      </c>
      <c r="I21" s="21">
        <f t="shared" si="5"/>
        <v>184130</v>
      </c>
      <c r="J21" s="21">
        <f t="shared" si="5"/>
        <v>188967</v>
      </c>
      <c r="K21" s="21">
        <f t="shared" si="5"/>
        <v>0</v>
      </c>
      <c r="L21" s="21">
        <f t="shared" si="5"/>
        <v>0</v>
      </c>
      <c r="M21" s="21">
        <f>M35</f>
        <v>0</v>
      </c>
      <c r="N21" s="21">
        <f>N35</f>
        <v>0</v>
      </c>
      <c r="O21" s="21">
        <f t="shared" si="5"/>
        <v>0</v>
      </c>
      <c r="P21" s="21">
        <f t="shared" si="5"/>
        <v>0</v>
      </c>
      <c r="Q21" s="21"/>
      <c r="R21" s="116">
        <f t="shared" si="2"/>
        <v>1273457</v>
      </c>
    </row>
    <row r="22" spans="1:20">
      <c r="A22" s="69">
        <f t="shared" si="4"/>
        <v>16</v>
      </c>
      <c r="B22" s="87" t="s">
        <v>14</v>
      </c>
      <c r="C22" s="121"/>
      <c r="D22" s="19">
        <f t="shared" si="3"/>
        <v>-568161</v>
      </c>
      <c r="E22" s="22">
        <f>E33</f>
        <v>-336895</v>
      </c>
      <c r="F22" s="22">
        <f>F33</f>
        <v>-717182</v>
      </c>
      <c r="G22" s="22">
        <f t="shared" ref="G22:P22" si="6">G33</f>
        <v>-527151</v>
      </c>
      <c r="H22" s="22">
        <f t="shared" si="6"/>
        <v>-257975</v>
      </c>
      <c r="I22" s="22">
        <f t="shared" si="6"/>
        <v>22739</v>
      </c>
      <c r="J22" s="22">
        <f t="shared" si="6"/>
        <v>1248303</v>
      </c>
      <c r="K22" s="22">
        <f t="shared" si="6"/>
        <v>0</v>
      </c>
      <c r="L22" s="22">
        <f t="shared" si="6"/>
        <v>0</v>
      </c>
      <c r="M22" s="22">
        <f t="shared" si="6"/>
        <v>0</v>
      </c>
      <c r="N22" s="22">
        <f>N33</f>
        <v>0</v>
      </c>
      <c r="O22" s="22">
        <f t="shared" si="6"/>
        <v>0</v>
      </c>
      <c r="P22" s="22">
        <f t="shared" si="6"/>
        <v>0</v>
      </c>
      <c r="Q22" s="22"/>
      <c r="R22" s="116">
        <f t="shared" si="2"/>
        <v>-568161</v>
      </c>
    </row>
    <row r="23" spans="1:20" s="26" customFormat="1" ht="13.5" thickBot="1">
      <c r="A23" s="122">
        <f t="shared" si="4"/>
        <v>17</v>
      </c>
      <c r="B23" s="54" t="s">
        <v>80</v>
      </c>
      <c r="C23" s="54"/>
      <c r="D23" s="34">
        <f>SUM(E23:P23)</f>
        <v>71582851</v>
      </c>
      <c r="E23" s="123">
        <f>E38</f>
        <v>13287337</v>
      </c>
      <c r="F23" s="123">
        <f t="shared" ref="F23:P23" si="7">F38</f>
        <v>12471420</v>
      </c>
      <c r="G23" s="123">
        <f>G38</f>
        <v>15020181</v>
      </c>
      <c r="H23" s="123">
        <f t="shared" si="7"/>
        <v>10654380</v>
      </c>
      <c r="I23" s="123">
        <f t="shared" si="7"/>
        <v>9382490</v>
      </c>
      <c r="J23" s="123">
        <f t="shared" si="7"/>
        <v>10767043</v>
      </c>
      <c r="K23" s="123">
        <f t="shared" si="7"/>
        <v>0</v>
      </c>
      <c r="L23" s="123">
        <f t="shared" si="7"/>
        <v>0</v>
      </c>
      <c r="M23" s="123">
        <f>M38</f>
        <v>0</v>
      </c>
      <c r="N23" s="123">
        <f>N38</f>
        <v>0</v>
      </c>
      <c r="O23" s="123">
        <f t="shared" si="7"/>
        <v>0</v>
      </c>
      <c r="P23" s="123">
        <f t="shared" si="7"/>
        <v>0</v>
      </c>
      <c r="Q23" s="23"/>
      <c r="R23" s="124">
        <f>SUM(R7:R21)</f>
        <v>72151012</v>
      </c>
    </row>
    <row r="24" spans="1:20" ht="13.5" thickTop="1">
      <c r="A24" s="69"/>
      <c r="E24" s="33" t="s">
        <v>24</v>
      </c>
      <c r="F24" s="125" t="s">
        <v>24</v>
      </c>
      <c r="G24" s="125"/>
      <c r="H24" s="125"/>
      <c r="I24" s="125"/>
      <c r="J24" s="125"/>
      <c r="K24" s="125"/>
      <c r="L24" s="125"/>
      <c r="M24" s="125"/>
      <c r="N24" s="125"/>
      <c r="O24" s="125"/>
      <c r="P24" s="125"/>
    </row>
    <row r="25" spans="1:20">
      <c r="A25" s="69"/>
      <c r="B25" s="3" t="s">
        <v>81</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80920114</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8486038</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80920114</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92</v>
      </c>
      <c r="D29" s="125">
        <f t="shared" ref="D29:D37" si="9">SUM(E29:P29)</f>
        <v>-14589094</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455600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-14589094</v>
      </c>
    </row>
    <row r="30" spans="1:20" outlineLevel="1">
      <c r="A30" s="69"/>
      <c r="B30" s="3">
        <v>555312</v>
      </c>
      <c r="C30" s="3" t="s">
        <v>60</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60</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93</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94</v>
      </c>
      <c r="D33" s="125">
        <f t="shared" si="9"/>
        <v>-568161</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1248303</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-568161</v>
      </c>
    </row>
    <row r="34" spans="1:18" outlineLevel="1">
      <c r="A34" s="69"/>
      <c r="B34" s="4">
        <v>555700</v>
      </c>
      <c r="C34" s="4" t="s">
        <v>95</v>
      </c>
      <c r="D34" s="125">
        <f t="shared" si="9"/>
        <v>4497475</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398160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4497475</v>
      </c>
    </row>
    <row r="35" spans="1:18" outlineLevel="1">
      <c r="A35" s="69"/>
      <c r="B35" s="4">
        <v>555710</v>
      </c>
      <c r="C35" s="4" t="s">
        <v>96</v>
      </c>
      <c r="D35" s="125">
        <f t="shared" si="9"/>
        <v>1273457</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188967</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1273457</v>
      </c>
    </row>
    <row r="36" spans="1:18" outlineLevel="1">
      <c r="A36" s="69"/>
      <c r="C36" s="68" t="s">
        <v>187</v>
      </c>
      <c r="D36" s="125">
        <f t="shared" si="9"/>
        <v>-44602</v>
      </c>
      <c r="E36" s="14">
        <f>-SUM((40589/12)+(1.29*950)-(E51*0.0063))</f>
        <v>-4422</v>
      </c>
      <c r="F36" s="14">
        <f>-SUM((40589/12)+(1.29*950)-(F51*0.0063))</f>
        <v>-3884</v>
      </c>
      <c r="G36" s="14">
        <f>-SUM((40589/12)+(1.29*4194)-(G51*0.0063))</f>
        <v>-7855</v>
      </c>
      <c r="H36" s="14">
        <f>-SUM((40589/12)+(1.29*4103)-(H51*0.0063))</f>
        <v>-8320</v>
      </c>
      <c r="I36" s="14">
        <f>-SUM((40589/12)+(1.29*5569)-(I51*0.0063))</f>
        <v>-10096</v>
      </c>
      <c r="J36" s="14">
        <f>-SUM((40589/12)+(1.29*5658)-(J51*0.0063))</f>
        <v>-10025</v>
      </c>
      <c r="K36" s="14"/>
      <c r="L36" s="14"/>
      <c r="M36" s="14"/>
      <c r="N36" s="14"/>
      <c r="O36" s="14"/>
      <c r="P36" s="14"/>
      <c r="Q36" s="45"/>
      <c r="R36" s="116"/>
    </row>
    <row r="37" spans="1:18" outlineLevel="1">
      <c r="A37" s="69"/>
      <c r="B37" s="51" t="s">
        <v>48</v>
      </c>
      <c r="C37" s="28" t="s">
        <v>139</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5"/>
      <c r="R37" s="116">
        <f t="shared" si="8"/>
        <v>93661</v>
      </c>
    </row>
    <row r="38" spans="1:18" s="26" customFormat="1" outlineLevel="1">
      <c r="A38" s="129"/>
      <c r="B38" s="52"/>
      <c r="C38" s="52"/>
      <c r="D38" s="35">
        <f>SUM(E38:P38)</f>
        <v>71582851</v>
      </c>
      <c r="E38" s="35">
        <f t="shared" ref="E38:P38" si="10">SUM(E27:E37)</f>
        <v>13287337</v>
      </c>
      <c r="F38" s="35">
        <f t="shared" si="10"/>
        <v>12471420</v>
      </c>
      <c r="G38" s="35">
        <f t="shared" si="10"/>
        <v>15020181</v>
      </c>
      <c r="H38" s="35">
        <f t="shared" si="10"/>
        <v>10654380</v>
      </c>
      <c r="I38" s="35">
        <f t="shared" si="10"/>
        <v>9382490</v>
      </c>
      <c r="J38" s="35">
        <f t="shared" si="10"/>
        <v>10767043</v>
      </c>
      <c r="K38" s="35">
        <f t="shared" si="10"/>
        <v>0</v>
      </c>
      <c r="L38" s="35">
        <f t="shared" si="10"/>
        <v>0</v>
      </c>
      <c r="M38" s="35">
        <f t="shared" si="10"/>
        <v>0</v>
      </c>
      <c r="N38" s="35">
        <f t="shared" si="10"/>
        <v>0</v>
      </c>
      <c r="O38" s="35">
        <f t="shared" si="10"/>
        <v>0</v>
      </c>
      <c r="P38" s="35">
        <f t="shared" si="10"/>
        <v>0</v>
      </c>
      <c r="Q38" s="43"/>
      <c r="R38" s="35">
        <f>SUM(R27:R37)</f>
        <v>71627452</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-36032327</v>
      </c>
      <c r="E41" s="22">
        <f t="shared" ref="E41:P41" si="12">E46-SUM(E42:E45)</f>
        <v>-5667231</v>
      </c>
      <c r="F41" s="22">
        <f t="shared" si="12"/>
        <v>-1839796</v>
      </c>
      <c r="G41" s="22">
        <f t="shared" si="12"/>
        <v>-6130300</v>
      </c>
      <c r="H41" s="22">
        <f t="shared" si="12"/>
        <v>-9008080</v>
      </c>
      <c r="I41" s="22">
        <f t="shared" si="12"/>
        <v>-7461700</v>
      </c>
      <c r="J41" s="22">
        <f t="shared" si="12"/>
        <v>-5925220</v>
      </c>
      <c r="K41" s="22">
        <f t="shared" si="12"/>
        <v>0</v>
      </c>
      <c r="L41" s="22">
        <f t="shared" si="12"/>
        <v>0</v>
      </c>
      <c r="M41" s="22">
        <f t="shared" si="12"/>
        <v>0</v>
      </c>
      <c r="N41" s="22">
        <f t="shared" si="12"/>
        <v>0</v>
      </c>
      <c r="O41" s="22">
        <f t="shared" si="12"/>
        <v>0</v>
      </c>
      <c r="P41" s="22">
        <f t="shared" si="12"/>
        <v>0</v>
      </c>
      <c r="Q41" s="130"/>
      <c r="R41" s="125">
        <f>SUM(E41:P41)</f>
        <v>-36032327</v>
      </c>
    </row>
    <row r="42" spans="1:18">
      <c r="A42" s="69">
        <f>A41+1</f>
        <v>19</v>
      </c>
      <c r="B42" s="4" t="s">
        <v>27</v>
      </c>
      <c r="C42" s="80" t="s">
        <v>97</v>
      </c>
      <c r="D42" s="125">
        <f t="shared" si="11"/>
        <v>-966985</v>
      </c>
      <c r="E42" s="120">
        <f>'Input Tab'!C45</f>
        <v>-120724</v>
      </c>
      <c r="F42" s="120">
        <f>'Input Tab'!D45</f>
        <v>-304137</v>
      </c>
      <c r="G42" s="120">
        <f>'Input Tab'!E45</f>
        <v>-375125</v>
      </c>
      <c r="H42" s="120">
        <f>'Input Tab'!F45</f>
        <v>-60162</v>
      </c>
      <c r="I42" s="120">
        <f>'Input Tab'!G45</f>
        <v>-45193</v>
      </c>
      <c r="J42" s="120">
        <f>'Input Tab'!H45</f>
        <v>-61644</v>
      </c>
      <c r="K42" s="120">
        <f>'Input Tab'!I45</f>
        <v>0</v>
      </c>
      <c r="L42" s="120">
        <f>'Input Tab'!J45</f>
        <v>0</v>
      </c>
      <c r="M42" s="120">
        <f>'Input Tab'!K45</f>
        <v>0</v>
      </c>
      <c r="N42" s="120">
        <f>'Input Tab'!L45</f>
        <v>0</v>
      </c>
      <c r="O42" s="120">
        <f>'Input Tab'!M45</f>
        <v>0</v>
      </c>
      <c r="P42" s="120">
        <f>'Input Tab'!N45</f>
        <v>0</v>
      </c>
      <c r="Q42" s="130"/>
      <c r="R42" s="125">
        <f>SUM(E42:P42)</f>
        <v>-966985</v>
      </c>
    </row>
    <row r="43" spans="1:18">
      <c r="A43" s="69">
        <f>A42+1</f>
        <v>20</v>
      </c>
      <c r="B43" s="3" t="s">
        <v>165</v>
      </c>
      <c r="C43" s="28" t="s">
        <v>138</v>
      </c>
      <c r="D43" s="125">
        <f t="shared" si="11"/>
        <v>-73666</v>
      </c>
      <c r="E43" s="120">
        <f>'Input Tab'!C46</f>
        <v>-12804</v>
      </c>
      <c r="F43" s="120">
        <f>'Input Tab'!D46</f>
        <v>-11620</v>
      </c>
      <c r="G43" s="120">
        <f>'Input Tab'!E46</f>
        <v>-12663</v>
      </c>
      <c r="H43" s="120">
        <f>'Input Tab'!F46</f>
        <v>-12424</v>
      </c>
      <c r="I43" s="120">
        <f>'Input Tab'!G46</f>
        <v>-12082</v>
      </c>
      <c r="J43" s="120">
        <f>'Input Tab'!H46</f>
        <v>-12073</v>
      </c>
      <c r="K43" s="120">
        <f>'Input Tab'!I46</f>
        <v>0</v>
      </c>
      <c r="L43" s="120">
        <f>'Input Tab'!J46</f>
        <v>0</v>
      </c>
      <c r="M43" s="120">
        <f>'Input Tab'!K46</f>
        <v>0</v>
      </c>
      <c r="N43" s="120">
        <f>'Input Tab'!L46</f>
        <v>0</v>
      </c>
      <c r="O43" s="120">
        <f>'Input Tab'!M46</f>
        <v>0</v>
      </c>
      <c r="P43" s="120">
        <f>'Input Tab'!N46</f>
        <v>0</v>
      </c>
      <c r="Q43" s="130"/>
      <c r="R43" s="125">
        <f>SUM(E43:P43)</f>
        <v>-73666</v>
      </c>
    </row>
    <row r="44" spans="1:18">
      <c r="A44" s="69">
        <f>A43+1</f>
        <v>21</v>
      </c>
      <c r="B44" s="4" t="s">
        <v>31</v>
      </c>
      <c r="C44" s="131" t="s">
        <v>137</v>
      </c>
      <c r="D44" s="125">
        <f t="shared" si="11"/>
        <v>-339470</v>
      </c>
      <c r="E44" s="120">
        <f>'Input Tab'!C47</f>
        <v>-63475</v>
      </c>
      <c r="F44" s="120">
        <f>'Input Tab'!D47</f>
        <v>-58476</v>
      </c>
      <c r="G44" s="120">
        <f>'Input Tab'!E47</f>
        <v>-58414</v>
      </c>
      <c r="H44" s="120">
        <f>'Input Tab'!F47</f>
        <v>-50505</v>
      </c>
      <c r="I44" s="120">
        <f>'Input Tab'!G47</f>
        <v>-54144</v>
      </c>
      <c r="J44" s="120">
        <f>'Input Tab'!H47</f>
        <v>-54456</v>
      </c>
      <c r="K44" s="120">
        <f>'Input Tab'!I47</f>
        <v>0</v>
      </c>
      <c r="L44" s="120">
        <f>'Input Tab'!J47</f>
        <v>0</v>
      </c>
      <c r="M44" s="120">
        <f>'Input Tab'!K47</f>
        <v>0</v>
      </c>
      <c r="N44" s="120">
        <f>'Input Tab'!L47</f>
        <v>0</v>
      </c>
      <c r="O44" s="120">
        <f>'Input Tab'!M47</f>
        <v>0</v>
      </c>
      <c r="P44" s="120">
        <f>'Input Tab'!N47</f>
        <v>0</v>
      </c>
      <c r="Q44" s="130"/>
      <c r="R44" s="125">
        <f>SUM(E44:P44)</f>
        <v>-339470</v>
      </c>
    </row>
    <row r="45" spans="1:18">
      <c r="A45" s="69">
        <f>A44+1</f>
        <v>22</v>
      </c>
      <c r="B45" s="4" t="s">
        <v>29</v>
      </c>
      <c r="C45" s="80"/>
      <c r="D45" s="125">
        <f t="shared" si="11"/>
        <v>-8851497</v>
      </c>
      <c r="E45" s="20">
        <f>E56</f>
        <v>-1090562</v>
      </c>
      <c r="F45" s="20">
        <f>F56</f>
        <v>-1486418</v>
      </c>
      <c r="G45" s="20">
        <f t="shared" ref="G45:P45" si="13">G56</f>
        <v>-1399685</v>
      </c>
      <c r="H45" s="20">
        <f t="shared" si="13"/>
        <v>-1642181</v>
      </c>
      <c r="I45" s="20">
        <f t="shared" si="13"/>
        <v>-1644969</v>
      </c>
      <c r="J45" s="20">
        <f>J56</f>
        <v>-1587682</v>
      </c>
      <c r="K45" s="20">
        <f>K56</f>
        <v>0</v>
      </c>
      <c r="L45" s="20">
        <f t="shared" si="13"/>
        <v>0</v>
      </c>
      <c r="M45" s="20">
        <f t="shared" si="13"/>
        <v>0</v>
      </c>
      <c r="N45" s="20">
        <f t="shared" si="13"/>
        <v>0</v>
      </c>
      <c r="O45" s="20">
        <f t="shared" si="13"/>
        <v>0</v>
      </c>
      <c r="P45" s="20">
        <f t="shared" si="13"/>
        <v>0</v>
      </c>
      <c r="Q45" s="130"/>
      <c r="R45" s="125">
        <f>SUM(E45:P45)</f>
        <v>-8851497</v>
      </c>
    </row>
    <row r="46" spans="1:18" s="26" customFormat="1" ht="24.75" customHeight="1" thickBot="1">
      <c r="A46" s="122">
        <f>A45+1</f>
        <v>23</v>
      </c>
      <c r="B46" s="54" t="s">
        <v>79</v>
      </c>
      <c r="C46" s="54"/>
      <c r="D46" s="34">
        <f t="shared" si="11"/>
        <v>-46263945</v>
      </c>
      <c r="E46" s="123">
        <f>E57</f>
        <v>-6954796</v>
      </c>
      <c r="F46" s="123">
        <f>F57</f>
        <v>-3700447</v>
      </c>
      <c r="G46" s="123">
        <f t="shared" ref="G46:P46" si="14">G57</f>
        <v>-7976187</v>
      </c>
      <c r="H46" s="123">
        <f>H57</f>
        <v>-10773352</v>
      </c>
      <c r="I46" s="123">
        <f>I57</f>
        <v>-9218088</v>
      </c>
      <c r="J46" s="123">
        <f t="shared" si="14"/>
        <v>-7641075</v>
      </c>
      <c r="K46" s="123">
        <f t="shared" si="14"/>
        <v>0</v>
      </c>
      <c r="L46" s="123">
        <f t="shared" si="14"/>
        <v>0</v>
      </c>
      <c r="M46" s="123">
        <f>M57</f>
        <v>0</v>
      </c>
      <c r="N46" s="123">
        <f t="shared" si="14"/>
        <v>0</v>
      </c>
      <c r="O46" s="123">
        <f t="shared" si="14"/>
        <v>0</v>
      </c>
      <c r="P46" s="123">
        <f t="shared" si="14"/>
        <v>0</v>
      </c>
      <c r="Q46" s="132"/>
      <c r="R46" s="124">
        <f>SUM(R41:R45)</f>
        <v>-46263945</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-41818829</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-2112158</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-41818829</v>
      </c>
    </row>
    <row r="51" spans="1:18" outlineLevel="2">
      <c r="A51" s="69"/>
      <c r="C51" s="26" t="s">
        <v>185</v>
      </c>
      <c r="D51" s="125">
        <f t="shared" si="15"/>
        <v>528653</v>
      </c>
      <c r="E51" s="14">
        <v>29529</v>
      </c>
      <c r="F51" s="14">
        <v>114980</v>
      </c>
      <c r="G51" s="14">
        <v>148778</v>
      </c>
      <c r="H51" s="14">
        <v>56427</v>
      </c>
      <c r="I51" s="14">
        <v>74697</v>
      </c>
      <c r="J51" s="14">
        <v>104242</v>
      </c>
      <c r="K51" s="14"/>
      <c r="L51" s="14"/>
      <c r="M51" s="14"/>
      <c r="N51" s="14"/>
      <c r="O51" s="14"/>
      <c r="P51" s="14"/>
      <c r="Q51" s="134"/>
      <c r="R51" s="116"/>
    </row>
    <row r="52" spans="1:18" outlineLevel="2">
      <c r="A52" s="69"/>
      <c r="B52" s="4">
        <v>447100</v>
      </c>
      <c r="D52" s="125">
        <f t="shared" si="15"/>
        <v>22704521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-2013200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22704521</v>
      </c>
    </row>
    <row r="53" spans="1:18" outlineLevel="2">
      <c r="A53" s="69"/>
      <c r="B53" s="4">
        <v>447150</v>
      </c>
      <c r="D53" s="125">
        <f t="shared" si="15"/>
        <v>-11747346</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-1432404</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-11747346</v>
      </c>
    </row>
    <row r="54" spans="1:18" outlineLevel="2">
      <c r="A54" s="69"/>
      <c r="B54" s="4">
        <v>447700</v>
      </c>
      <c r="D54" s="125">
        <f t="shared" si="15"/>
        <v>-5805990</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-410906</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-5805990</v>
      </c>
    </row>
    <row r="55" spans="1:18" outlineLevel="2">
      <c r="A55" s="69"/>
      <c r="B55" s="4">
        <v>447710</v>
      </c>
      <c r="D55" s="125">
        <f t="shared" si="15"/>
        <v>-1273457</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-188967</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-1273457</v>
      </c>
    </row>
    <row r="56" spans="1:18" outlineLevel="2">
      <c r="A56" s="69"/>
      <c r="B56" s="4">
        <v>447720</v>
      </c>
      <c r="C56" s="3" t="s">
        <v>149</v>
      </c>
      <c r="D56" s="127">
        <f t="shared" si="15"/>
        <v>-8851497</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-1587682</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-8851497</v>
      </c>
    </row>
    <row r="57" spans="1:18" s="26" customFormat="1" outlineLevel="2">
      <c r="A57" s="129"/>
      <c r="D57" s="35">
        <f t="shared" si="15"/>
        <v>-46263945</v>
      </c>
      <c r="E57" s="25">
        <f t="shared" ref="E57:P57" si="17">SUM(E50:E56)</f>
        <v>-6954796</v>
      </c>
      <c r="F57" s="25">
        <f t="shared" si="17"/>
        <v>-3700447</v>
      </c>
      <c r="G57" s="25">
        <f t="shared" si="17"/>
        <v>-7976187</v>
      </c>
      <c r="H57" s="25">
        <f t="shared" si="17"/>
        <v>-10773352</v>
      </c>
      <c r="I57" s="25">
        <f t="shared" si="17"/>
        <v>-9218088</v>
      </c>
      <c r="J57" s="25">
        <f t="shared" si="17"/>
        <v>-7641075</v>
      </c>
      <c r="K57" s="25">
        <f t="shared" si="17"/>
        <v>0</v>
      </c>
      <c r="L57" s="25">
        <f t="shared" si="17"/>
        <v>0</v>
      </c>
      <c r="M57" s="25">
        <f>SUM(M50:M56)</f>
        <v>0</v>
      </c>
      <c r="N57" s="25">
        <f t="shared" si="17"/>
        <v>0</v>
      </c>
      <c r="O57" s="25">
        <f t="shared" si="17"/>
        <v>0</v>
      </c>
      <c r="P57" s="25">
        <f t="shared" si="17"/>
        <v>0</v>
      </c>
      <c r="Q57" s="136"/>
      <c r="R57" s="35">
        <f>SUM(R50:R56)</f>
        <v>-46792598</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88</v>
      </c>
      <c r="C60" s="3"/>
      <c r="D60" s="125">
        <f>SUM(E60:P60)</f>
        <v>2270068</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272220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2270068</v>
      </c>
    </row>
    <row r="61" spans="1:18">
      <c r="A61" s="69">
        <f>+A60+1</f>
        <v>25</v>
      </c>
      <c r="B61" s="3" t="s">
        <v>87</v>
      </c>
      <c r="C61" s="3"/>
      <c r="D61" s="125">
        <f>SUM(E61:P61)</f>
        <v>3372</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6030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3372</v>
      </c>
    </row>
    <row r="62" spans="1:18">
      <c r="A62" s="69">
        <f>+A61+1</f>
        <v>26</v>
      </c>
      <c r="B62" s="5" t="s">
        <v>47</v>
      </c>
      <c r="C62" s="5"/>
      <c r="D62" s="125">
        <f>SUM(E62:P62)</f>
        <v>9896977</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1573569</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9896977</v>
      </c>
    </row>
    <row r="63" spans="1:18">
      <c r="A63" s="69">
        <f>+A62+1</f>
        <v>27</v>
      </c>
      <c r="B63" s="5" t="s">
        <v>46</v>
      </c>
      <c r="C63" s="5"/>
      <c r="D63" s="125">
        <f>SUM(E63:P63)</f>
        <v>111511</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41037</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111511</v>
      </c>
    </row>
    <row r="64" spans="1:18" s="26" customFormat="1" ht="27.75" customHeight="1" thickBot="1">
      <c r="A64" s="122">
        <f>+A63+1</f>
        <v>28</v>
      </c>
      <c r="B64" s="54" t="s">
        <v>78</v>
      </c>
      <c r="C64" s="54"/>
      <c r="D64" s="34">
        <f>SUM(E64:P64)</f>
        <v>12281928</v>
      </c>
      <c r="E64" s="16">
        <f>SUM(E60:E63)</f>
        <v>2866380</v>
      </c>
      <c r="F64" s="16">
        <f t="shared" ref="F64:P64" si="18">SUM(F60:F63)</f>
        <v>1489795</v>
      </c>
      <c r="G64" s="16">
        <f t="shared" si="18"/>
        <v>2867639</v>
      </c>
      <c r="H64" s="16">
        <f t="shared" si="18"/>
        <v>1993772</v>
      </c>
      <c r="I64" s="16">
        <f t="shared" si="18"/>
        <v>1171486</v>
      </c>
      <c r="J64" s="16">
        <f t="shared" si="18"/>
        <v>1892856</v>
      </c>
      <c r="K64" s="16">
        <f t="shared" si="18"/>
        <v>0</v>
      </c>
      <c r="L64" s="16">
        <f t="shared" si="18"/>
        <v>0</v>
      </c>
      <c r="M64" s="16">
        <f t="shared" si="18"/>
        <v>0</v>
      </c>
      <c r="N64" s="16">
        <f t="shared" si="18"/>
        <v>0</v>
      </c>
      <c r="O64" s="16">
        <f t="shared" si="18"/>
        <v>0</v>
      </c>
      <c r="P64" s="16">
        <f t="shared" si="18"/>
        <v>0</v>
      </c>
      <c r="Q64" s="139"/>
      <c r="R64" s="124">
        <f>SUM(E64:P64)</f>
        <v>12281928</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113</v>
      </c>
      <c r="D67" s="140">
        <f>SUM(E67:P67)</f>
        <v>180653</v>
      </c>
      <c r="E67" s="141">
        <f>'Input Tab'!C50</f>
        <v>55618</v>
      </c>
      <c r="F67" s="141">
        <f>'Input Tab'!D50</f>
        <v>49341</v>
      </c>
      <c r="G67" s="141">
        <f>'Input Tab'!E50</f>
        <v>52895</v>
      </c>
      <c r="H67" s="141">
        <f>'Input Tab'!F50</f>
        <v>0</v>
      </c>
      <c r="I67" s="141">
        <f>'Input Tab'!G50</f>
        <v>0</v>
      </c>
      <c r="J67" s="141">
        <f>'Input Tab'!H50</f>
        <v>22799</v>
      </c>
      <c r="K67" s="141">
        <f>'Input Tab'!I50</f>
        <v>0</v>
      </c>
      <c r="L67" s="141">
        <f>'Input Tab'!J50</f>
        <v>0</v>
      </c>
      <c r="M67" s="141">
        <f>'Input Tab'!K50</f>
        <v>0</v>
      </c>
      <c r="N67" s="141">
        <f>'Input Tab'!L50</f>
        <v>0</v>
      </c>
      <c r="O67" s="141">
        <f>'Input Tab'!M50</f>
        <v>0</v>
      </c>
      <c r="P67" s="141">
        <f>'Input Tab'!N50</f>
        <v>0</v>
      </c>
      <c r="Q67" s="133"/>
      <c r="R67" s="142">
        <f>SUM(E67:P67)</f>
        <v>180653</v>
      </c>
    </row>
    <row r="68" spans="1:18">
      <c r="A68" s="69">
        <f>A67+1</f>
        <v>30</v>
      </c>
      <c r="B68" s="4" t="s">
        <v>25</v>
      </c>
      <c r="C68" s="3" t="s">
        <v>112</v>
      </c>
      <c r="D68" s="140">
        <f>SUM(E68:P68)</f>
        <v>456909</v>
      </c>
      <c r="E68" s="141">
        <f>'Input Tab'!C51</f>
        <v>94382</v>
      </c>
      <c r="F68" s="141">
        <f>'Input Tab'!D51</f>
        <v>84400</v>
      </c>
      <c r="G68" s="141">
        <f>'Input Tab'!E51</f>
        <v>99623</v>
      </c>
      <c r="H68" s="141">
        <f>'Input Tab'!F51</f>
        <v>69067</v>
      </c>
      <c r="I68" s="141">
        <f>'Input Tab'!G51</f>
        <v>42755</v>
      </c>
      <c r="J68" s="141">
        <f>'Input Tab'!H51</f>
        <v>66682</v>
      </c>
      <c r="K68" s="141">
        <f>'Input Tab'!I51</f>
        <v>0</v>
      </c>
      <c r="L68" s="141">
        <f>'Input Tab'!J51</f>
        <v>0</v>
      </c>
      <c r="M68" s="141">
        <f>'Input Tab'!K51</f>
        <v>0</v>
      </c>
      <c r="N68" s="141">
        <f>'Input Tab'!L51</f>
        <v>0</v>
      </c>
      <c r="O68" s="141">
        <f>'Input Tab'!M51</f>
        <v>0</v>
      </c>
      <c r="P68" s="141">
        <f>'Input Tab'!N51</f>
        <v>0</v>
      </c>
      <c r="Q68" s="133"/>
      <c r="R68" s="142">
        <f>SUM(E68:P68)</f>
        <v>456909</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f t="shared" si="19"/>
        <v>11.94</v>
      </c>
      <c r="K71" s="144" t="str">
        <f>IF(K67=0," ",K60/K67)</f>
        <v xml:space="preserve"> </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12.57</v>
      </c>
    </row>
    <row r="72" spans="1:18">
      <c r="A72" s="69">
        <f>A71+1</f>
        <v>32</v>
      </c>
      <c r="B72" s="4" t="s">
        <v>19</v>
      </c>
      <c r="D72" s="69" t="s">
        <v>18</v>
      </c>
      <c r="E72" s="144">
        <f>IF(E68=0," ",E62/E68)</f>
        <v>21.91</v>
      </c>
      <c r="F72" s="144">
        <f>IF(F68=0," ",F62/F68)</f>
        <v>10.16</v>
      </c>
      <c r="G72" s="144">
        <f t="shared" ref="G72:P72" si="20">IF(G68=0," ",G62/G68)</f>
        <v>22.24</v>
      </c>
      <c r="H72" s="144">
        <f t="shared" si="20"/>
        <v>29.09</v>
      </c>
      <c r="I72" s="144">
        <f>IF(I68=0," ",I62/I68)</f>
        <v>27.43</v>
      </c>
      <c r="J72" s="144">
        <f t="shared" si="20"/>
        <v>23.6</v>
      </c>
      <c r="K72" s="144" t="str">
        <f t="shared" si="20"/>
        <v xml:space="preserve"> </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21.66</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47770</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13904</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47770</v>
      </c>
    </row>
    <row r="76" spans="1:18">
      <c r="A76" s="69">
        <f t="shared" ref="A76:A81" si="23">A75+1</f>
        <v>34</v>
      </c>
      <c r="B76" s="4" t="s">
        <v>50</v>
      </c>
      <c r="D76" s="125">
        <f t="shared" si="21"/>
        <v>468122</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54616</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468122</v>
      </c>
    </row>
    <row r="77" spans="1:18">
      <c r="A77" s="69">
        <f t="shared" si="23"/>
        <v>35</v>
      </c>
      <c r="B77" s="4" t="s">
        <v>49</v>
      </c>
      <c r="D77" s="125">
        <f t="shared" si="21"/>
        <v>127413</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8818</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127413</v>
      </c>
    </row>
    <row r="78" spans="1:18">
      <c r="A78" s="69">
        <f t="shared" si="23"/>
        <v>36</v>
      </c>
      <c r="B78" s="4" t="s">
        <v>51</v>
      </c>
      <c r="D78" s="125">
        <f t="shared" si="21"/>
        <v>15035240</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760751</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15035240</v>
      </c>
    </row>
    <row r="79" spans="1:18">
      <c r="A79" s="69">
        <f>A78+1</f>
        <v>37</v>
      </c>
      <c r="B79" s="3" t="s">
        <v>58</v>
      </c>
      <c r="C79" s="3"/>
      <c r="D79" s="125">
        <f t="shared" si="21"/>
        <v>15555144</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831582</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15555144</v>
      </c>
    </row>
    <row r="80" spans="1:18">
      <c r="A80" s="69">
        <f>A79+1</f>
        <v>38</v>
      </c>
      <c r="B80" s="56" t="s">
        <v>52</v>
      </c>
      <c r="C80" s="56"/>
      <c r="D80" s="125">
        <f t="shared" si="21"/>
        <v>1396738</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152865</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1396738</v>
      </c>
    </row>
    <row r="81" spans="1:18" s="26" customFormat="1" ht="21.75" customHeight="1">
      <c r="A81" s="122">
        <f t="shared" si="23"/>
        <v>39</v>
      </c>
      <c r="B81" s="54" t="s">
        <v>77</v>
      </c>
      <c r="C81" s="54"/>
      <c r="D81" s="34">
        <f t="shared" si="21"/>
        <v>32630427</v>
      </c>
      <c r="E81" s="16">
        <f t="shared" ref="E81:P81" si="24">SUM(E75:E80)</f>
        <v>5520134</v>
      </c>
      <c r="F81" s="16">
        <f t="shared" si="24"/>
        <v>12385807</v>
      </c>
      <c r="G81" s="16">
        <f t="shared" si="24"/>
        <v>7672060</v>
      </c>
      <c r="H81" s="16">
        <f t="shared" si="24"/>
        <v>3367643</v>
      </c>
      <c r="I81" s="16">
        <f t="shared" si="24"/>
        <v>1862247</v>
      </c>
      <c r="J81" s="16">
        <f t="shared" si="24"/>
        <v>1822536</v>
      </c>
      <c r="K81" s="16">
        <f t="shared" si="24"/>
        <v>0</v>
      </c>
      <c r="L81" s="16">
        <f t="shared" si="24"/>
        <v>0</v>
      </c>
      <c r="M81" s="16">
        <f t="shared" si="24"/>
        <v>0</v>
      </c>
      <c r="N81" s="16">
        <f t="shared" si="24"/>
        <v>0</v>
      </c>
      <c r="O81" s="16">
        <f t="shared" si="24"/>
        <v>0</v>
      </c>
      <c r="P81" s="16">
        <f t="shared" si="24"/>
        <v>0</v>
      </c>
      <c r="Q81" s="150"/>
      <c r="R81" s="151">
        <f>SUM(R75:R80)</f>
        <v>32630427</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70231261</v>
      </c>
      <c r="E83" s="16">
        <f t="shared" ref="E83:P83" si="25">E23+E46+E64+E81</f>
        <v>14719055</v>
      </c>
      <c r="F83" s="16">
        <f t="shared" si="25"/>
        <v>22646575</v>
      </c>
      <c r="G83" s="16">
        <f t="shared" si="25"/>
        <v>17583693</v>
      </c>
      <c r="H83" s="16">
        <f t="shared" si="25"/>
        <v>5242443</v>
      </c>
      <c r="I83" s="16">
        <f t="shared" si="25"/>
        <v>3198135</v>
      </c>
      <c r="J83" s="16">
        <f t="shared" si="25"/>
        <v>6841360</v>
      </c>
      <c r="K83" s="16">
        <f t="shared" si="25"/>
        <v>0</v>
      </c>
      <c r="L83" s="16">
        <f t="shared" si="25"/>
        <v>0</v>
      </c>
      <c r="M83" s="16">
        <f t="shared" si="25"/>
        <v>0</v>
      </c>
      <c r="N83" s="16">
        <f t="shared" si="25"/>
        <v>0</v>
      </c>
      <c r="O83" s="16">
        <f t="shared" si="25"/>
        <v>0</v>
      </c>
      <c r="P83" s="16">
        <f t="shared" si="25"/>
        <v>0</v>
      </c>
      <c r="Q83" s="154"/>
      <c r="R83" s="155">
        <f>R23-R46+R64+R81</f>
        <v>163327312</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84</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-6748091</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-1217742</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-6748091</v>
      </c>
    </row>
    <row r="88" spans="1:18">
      <c r="A88" s="69">
        <v>45</v>
      </c>
      <c r="B88" s="58" t="s">
        <v>118</v>
      </c>
      <c r="C88" s="58"/>
      <c r="D88" s="45">
        <f t="shared" si="26"/>
        <v>-462000</v>
      </c>
      <c r="E88" s="48">
        <f>_xll.Get_Balance(E$85,"PTD","USD","Total","A","","001","456120","ED","AN","DL")</f>
        <v>-77000</v>
      </c>
      <c r="F88" s="48">
        <f>_xll.Get_Balance(F$85,"PTD","USD","Total","A","","001","456120","ED","AN","DL")</f>
        <v>-77000</v>
      </c>
      <c r="G88" s="48">
        <f>_xll.Get_Balance(G$85,"PTD","USD","Total","A","","001","456120","ED","AN","DL")</f>
        <v>-77000</v>
      </c>
      <c r="H88" s="48">
        <f>_xll.Get_Balance(H$85,"PTD","USD","Total","A","","001","456120","ED","AN","DL")</f>
        <v>-77000</v>
      </c>
      <c r="I88" s="48">
        <f>_xll.Get_Balance(I$85,"PTD","USD","Total","A","","001","456120","ED","AN","DL")</f>
        <v>-77000</v>
      </c>
      <c r="J88" s="48">
        <f>_xll.Get_Balance(J$85,"PTD","USD","Total","A","","001","456120","ED","AN","DL")</f>
        <v>-77000</v>
      </c>
      <c r="K88" s="48">
        <f>_xll.Get_Balance(K$85,"PTD","USD","Total","A","","001","456120","ED","AN","DL")</f>
        <v>0</v>
      </c>
      <c r="L88" s="48">
        <f>_xll.Get_Balance(L$85,"PTD","USD","Total","A","","001","456120","ED","AN","DL")</f>
        <v>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-462000</v>
      </c>
    </row>
    <row r="89" spans="1:18">
      <c r="A89" s="69">
        <f>A88+1</f>
        <v>46</v>
      </c>
      <c r="B89" s="58" t="s">
        <v>153</v>
      </c>
      <c r="C89" s="58"/>
      <c r="D89" s="45">
        <f t="shared" si="26"/>
        <v>-27673</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-5938</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-27673</v>
      </c>
    </row>
    <row r="90" spans="1:18">
      <c r="A90" s="69">
        <f>A89+1</f>
        <v>47</v>
      </c>
      <c r="B90" s="58" t="s">
        <v>188</v>
      </c>
      <c r="C90" s="58"/>
      <c r="D90" s="45">
        <f t="shared" si="26"/>
        <v>-511373</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-101292</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152</v>
      </c>
      <c r="C91" s="58"/>
      <c r="D91" s="45">
        <f t="shared" si="26"/>
        <v>-1273457</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-188967</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-1273457</v>
      </c>
    </row>
    <row r="92" spans="1:18">
      <c r="A92" s="69">
        <f>+A91+1</f>
        <v>49</v>
      </c>
      <c r="B92" s="3" t="s">
        <v>120</v>
      </c>
      <c r="C92" s="3"/>
      <c r="D92" s="36">
        <f>SUM(E92:P92)</f>
        <v>-35328</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-5778</v>
      </c>
      <c r="J92" s="37">
        <f>_xll.Get_Balance(J$85,"PTD","USD","Total","A","","001","456017","ED","AN","DL")</f>
        <v>-5778</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-35328</v>
      </c>
    </row>
    <row r="93" spans="1:18">
      <c r="A93" s="69">
        <f>+A92+1</f>
        <v>50</v>
      </c>
      <c r="B93" s="78" t="s">
        <v>166</v>
      </c>
      <c r="C93" s="58"/>
      <c r="D93" s="45">
        <f t="shared" si="26"/>
        <v>-53748</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-8958</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-53748</v>
      </c>
    </row>
    <row r="94" spans="1:18">
      <c r="A94" s="69">
        <f>+A93+1</f>
        <v>51</v>
      </c>
      <c r="B94" s="60" t="s">
        <v>121</v>
      </c>
      <c r="C94" s="60" t="s">
        <v>98</v>
      </c>
      <c r="D94" s="45">
        <f t="shared" si="26"/>
        <v>-839838</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-139973</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-839838</v>
      </c>
    </row>
    <row r="95" spans="1:18" s="26" customFormat="1" ht="20.25" customHeight="1">
      <c r="A95" s="122">
        <f>A94+1</f>
        <v>52</v>
      </c>
      <c r="B95" s="61" t="s">
        <v>83</v>
      </c>
      <c r="C95" s="61"/>
      <c r="D95" s="34">
        <f t="shared" si="26"/>
        <v>-9951508</v>
      </c>
      <c r="E95" s="34">
        <f>SUM(E87:E94)</f>
        <v>-1387701</v>
      </c>
      <c r="F95" s="34">
        <f t="shared" ref="F95:P95" si="28">SUM(F87:F94)</f>
        <v>-1693902</v>
      </c>
      <c r="G95" s="34">
        <f t="shared" si="28"/>
        <v>-2209602</v>
      </c>
      <c r="H95" s="34">
        <f t="shared" si="28"/>
        <v>-1531403</v>
      </c>
      <c r="I95" s="34">
        <f t="shared" si="28"/>
        <v>-1383252</v>
      </c>
      <c r="J95" s="34">
        <f t="shared" si="28"/>
        <v>-1745648</v>
      </c>
      <c r="K95" s="34">
        <f t="shared" si="28"/>
        <v>0</v>
      </c>
      <c r="L95" s="34">
        <f t="shared" si="28"/>
        <v>0</v>
      </c>
      <c r="M95" s="34">
        <f t="shared" si="28"/>
        <v>0</v>
      </c>
      <c r="N95" s="34">
        <f t="shared" si="28"/>
        <v>0</v>
      </c>
      <c r="O95" s="34">
        <f t="shared" si="28"/>
        <v>0</v>
      </c>
      <c r="P95" s="34">
        <f t="shared" si="28"/>
        <v>0</v>
      </c>
      <c r="Q95" s="150"/>
      <c r="R95" s="151">
        <f t="shared" si="27"/>
        <v>-9951508</v>
      </c>
    </row>
    <row r="96" spans="1:18">
      <c r="A96" s="69"/>
      <c r="D96" s="5"/>
      <c r="E96" s="45"/>
      <c r="F96" s="125"/>
      <c r="G96" s="21"/>
      <c r="H96" s="21"/>
      <c r="I96" s="21"/>
      <c r="J96" s="21"/>
      <c r="K96" s="21"/>
      <c r="L96" s="21"/>
      <c r="M96" s="21"/>
      <c r="N96" s="21"/>
      <c r="O96" s="21"/>
      <c r="P96" s="21"/>
      <c r="Q96" s="147"/>
      <c r="R96" s="148"/>
    </row>
    <row r="97" spans="1:18">
      <c r="A97" s="69"/>
      <c r="B97" s="53" t="s">
        <v>85</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8967509</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1400948</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8967509</v>
      </c>
    </row>
    <row r="99" spans="1:18">
      <c r="A99" s="69">
        <f>A98+1</f>
        <v>54</v>
      </c>
      <c r="B99" s="3" t="s">
        <v>59</v>
      </c>
      <c r="C99" s="3" t="s">
        <v>60</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27216</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4536</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27216</v>
      </c>
    </row>
    <row r="101" spans="1:18" s="26" customFormat="1" ht="20.25" customHeight="1">
      <c r="A101" s="122">
        <f>A100+1</f>
        <v>56</v>
      </c>
      <c r="B101" s="61" t="s">
        <v>82</v>
      </c>
      <c r="C101" s="61"/>
      <c r="D101" s="34">
        <f>SUM(E101:P101)</f>
        <v>8994725</v>
      </c>
      <c r="E101" s="16">
        <f t="shared" ref="E101:P101" si="29">SUM(E98:E100)</f>
        <v>1471955</v>
      </c>
      <c r="F101" s="16">
        <f t="shared" si="29"/>
        <v>1538740</v>
      </c>
      <c r="G101" s="16">
        <f t="shared" si="29"/>
        <v>1681541</v>
      </c>
      <c r="H101" s="16">
        <f t="shared" si="29"/>
        <v>1453127</v>
      </c>
      <c r="I101" s="16">
        <f t="shared" si="29"/>
        <v>1443878</v>
      </c>
      <c r="J101" s="16">
        <f t="shared" si="29"/>
        <v>1405484</v>
      </c>
      <c r="K101" s="16">
        <f t="shared" si="29"/>
        <v>0</v>
      </c>
      <c r="L101" s="16">
        <f t="shared" si="29"/>
        <v>0</v>
      </c>
      <c r="M101" s="16">
        <f t="shared" si="29"/>
        <v>0</v>
      </c>
      <c r="N101" s="16">
        <f t="shared" si="29"/>
        <v>0</v>
      </c>
      <c r="O101" s="16">
        <f t="shared" si="29"/>
        <v>0</v>
      </c>
      <c r="P101" s="16">
        <f t="shared" si="29"/>
        <v>0</v>
      </c>
      <c r="Q101" s="150"/>
      <c r="R101" s="151">
        <f>SUM(E101:P101)</f>
        <v>8994725</v>
      </c>
    </row>
    <row r="102" spans="1:18">
      <c r="A102" s="69"/>
      <c r="E102" s="21"/>
      <c r="F102" s="21"/>
      <c r="G102" s="21"/>
      <c r="H102" s="21"/>
      <c r="I102" s="21"/>
      <c r="J102" s="21"/>
      <c r="K102" s="21"/>
      <c r="L102" s="21"/>
      <c r="M102" s="21"/>
      <c r="N102" s="21"/>
      <c r="O102" s="21"/>
      <c r="P102" s="21"/>
      <c r="Q102" s="147"/>
      <c r="R102" s="148"/>
    </row>
    <row r="103" spans="1:18">
      <c r="A103" s="69"/>
      <c r="B103" s="53" t="s">
        <v>144</v>
      </c>
      <c r="E103" s="21"/>
      <c r="F103" s="21"/>
      <c r="G103" s="21"/>
      <c r="H103" s="21"/>
      <c r="I103" s="21"/>
      <c r="J103" s="21"/>
      <c r="K103" s="21"/>
      <c r="L103" s="21"/>
      <c r="M103" s="21"/>
      <c r="N103" s="21"/>
      <c r="O103" s="21"/>
      <c r="P103" s="21"/>
      <c r="Q103" s="147"/>
      <c r="R103" s="148"/>
    </row>
    <row r="104" spans="1:18">
      <c r="A104" s="69">
        <f>A101+1</f>
        <v>57</v>
      </c>
      <c r="B104" s="3" t="s">
        <v>147</v>
      </c>
      <c r="D104" s="125">
        <f>SUM(E104:P104)</f>
        <v>163605</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26268</v>
      </c>
      <c r="K104" s="21">
        <f>_xll.Get_Balance(K$85,"PTD","USD","Total","A","","001","557170","ED","AN","DL")</f>
        <v>3262</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146</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170</v>
      </c>
      <c r="C106" s="4" t="s">
        <v>171</v>
      </c>
      <c r="D106" s="125">
        <f>SUM(E106:P106)</f>
        <v>185934</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13675</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173</v>
      </c>
      <c r="C107" s="4" t="s">
        <v>174</v>
      </c>
      <c r="D107" s="125">
        <f>SUM(E107:P107)</f>
        <v>24601</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4064</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145</v>
      </c>
      <c r="C108" s="61"/>
      <c r="D108" s="34">
        <f>D104+D105+D106+D107</f>
        <v>374140</v>
      </c>
      <c r="E108" s="34">
        <f>E104+E105+E106+E107</f>
        <v>40867</v>
      </c>
      <c r="F108" s="34">
        <f t="shared" ref="F108:P108" si="30">F104+F105+F106+F107</f>
        <v>37768</v>
      </c>
      <c r="G108" s="34">
        <f t="shared" si="30"/>
        <v>91606</v>
      </c>
      <c r="H108" s="34">
        <f t="shared" si="30"/>
        <v>122083</v>
      </c>
      <c r="I108" s="34">
        <f t="shared" si="30"/>
        <v>34547</v>
      </c>
      <c r="J108" s="34">
        <f t="shared" si="30"/>
        <v>44007</v>
      </c>
      <c r="K108" s="34">
        <f t="shared" si="30"/>
        <v>3262</v>
      </c>
      <c r="L108" s="34">
        <f t="shared" si="30"/>
        <v>0</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191</v>
      </c>
      <c r="C110" s="8"/>
      <c r="E110" s="19"/>
      <c r="F110" s="19"/>
      <c r="G110" s="19"/>
      <c r="H110" s="19"/>
      <c r="I110" s="19"/>
      <c r="J110" s="19"/>
      <c r="K110" s="19"/>
      <c r="L110" s="19"/>
      <c r="M110" s="19"/>
      <c r="N110" s="19"/>
      <c r="O110" s="19"/>
      <c r="P110" s="19"/>
      <c r="Q110" s="147"/>
      <c r="R110" s="148"/>
    </row>
    <row r="111" spans="1:18">
      <c r="A111" s="69">
        <f>A108+1</f>
        <v>62</v>
      </c>
      <c r="B111" s="4" t="s">
        <v>63</v>
      </c>
      <c r="D111" s="125">
        <f>SUM(E111:P111)</f>
        <v>-3825842</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1320678</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-3825842</v>
      </c>
    </row>
    <row r="112" spans="1:18">
      <c r="A112" s="69">
        <f>A111+1</f>
        <v>63</v>
      </c>
      <c r="B112" s="4" t="s">
        <v>53</v>
      </c>
      <c r="D112" s="125">
        <f t="shared" ref="D112:D121" si="32">SUM(E112:P112)</f>
        <v>-2258156</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-226107</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-2258156</v>
      </c>
    </row>
    <row r="113" spans="1:18">
      <c r="A113" s="69">
        <f t="shared" ref="A113:A121" si="33">A112+1</f>
        <v>64</v>
      </c>
      <c r="B113" s="4" t="s">
        <v>54</v>
      </c>
      <c r="D113" s="125">
        <f t="shared" si="32"/>
        <v>3664491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3664491</v>
      </c>
    </row>
    <row r="114" spans="1:18">
      <c r="A114" s="69">
        <f t="shared" si="33"/>
        <v>65</v>
      </c>
      <c r="B114" s="3" t="s">
        <v>70</v>
      </c>
      <c r="C114" s="3"/>
      <c r="D114" s="125">
        <f t="shared" si="32"/>
        <v>-3664491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-3664491</v>
      </c>
    </row>
    <row r="115" spans="1:18">
      <c r="A115" s="69">
        <f t="shared" si="33"/>
        <v>66</v>
      </c>
      <c r="B115" s="4" t="s">
        <v>65</v>
      </c>
      <c r="D115" s="125">
        <f t="shared" si="32"/>
        <v>30254677</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1464224</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30254677</v>
      </c>
    </row>
    <row r="116" spans="1:18">
      <c r="A116" s="69">
        <f t="shared" si="33"/>
        <v>67</v>
      </c>
      <c r="B116" s="3" t="s">
        <v>68</v>
      </c>
      <c r="C116" s="3"/>
      <c r="D116" s="125">
        <f t="shared" si="32"/>
        <v>6180434</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-780953</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6180434</v>
      </c>
    </row>
    <row r="117" spans="1:18">
      <c r="A117" s="69">
        <f t="shared" si="33"/>
        <v>68</v>
      </c>
      <c r="B117" s="4" t="s">
        <v>55</v>
      </c>
      <c r="D117" s="125">
        <f t="shared" si="32"/>
        <v>-7705103</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-1130111</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-7705103</v>
      </c>
    </row>
    <row r="118" spans="1:18">
      <c r="A118" s="69">
        <f t="shared" si="33"/>
        <v>69</v>
      </c>
      <c r="B118" s="4" t="s">
        <v>182</v>
      </c>
      <c r="D118" s="125">
        <f t="shared" si="32"/>
        <v>-204284</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-30473</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66</v>
      </c>
      <c r="D119" s="125">
        <f t="shared" si="32"/>
        <v>-25735864</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-1792234</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-25735864</v>
      </c>
    </row>
    <row r="120" spans="1:18">
      <c r="A120" s="69">
        <f t="shared" si="33"/>
        <v>71</v>
      </c>
      <c r="B120" s="3" t="s">
        <v>69</v>
      </c>
      <c r="C120" s="3"/>
      <c r="D120" s="125">
        <f t="shared" si="32"/>
        <v>2068579</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2068579</v>
      </c>
    </row>
    <row r="121" spans="1:18">
      <c r="A121" s="69">
        <f t="shared" si="33"/>
        <v>72</v>
      </c>
      <c r="B121" s="56" t="s">
        <v>56</v>
      </c>
      <c r="C121" s="56"/>
      <c r="D121" s="125">
        <f t="shared" si="32"/>
        <v>-2068579</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-2068579</v>
      </c>
    </row>
    <row r="122" spans="1:18" ht="22.5" customHeight="1">
      <c r="A122" s="160">
        <f>+A121+1</f>
        <v>73</v>
      </c>
      <c r="B122" s="61" t="s">
        <v>192</v>
      </c>
      <c r="C122" s="61"/>
      <c r="D122" s="34">
        <f>SUM(E122:P122)</f>
        <v>-3294138</v>
      </c>
      <c r="E122" s="17">
        <f>SUM(E111:E121)</f>
        <v>738360</v>
      </c>
      <c r="F122" s="17">
        <f t="shared" ref="F122:P122" si="34">SUM(F111:F121)</f>
        <v>-2485058</v>
      </c>
      <c r="G122" s="17">
        <f t="shared" si="34"/>
        <v>1167514</v>
      </c>
      <c r="H122" s="17">
        <f t="shared" si="34"/>
        <v>-439070</v>
      </c>
      <c r="I122" s="17">
        <f t="shared" si="34"/>
        <v>-1100908</v>
      </c>
      <c r="J122" s="17">
        <f t="shared" si="34"/>
        <v>-1174976</v>
      </c>
      <c r="K122" s="17">
        <f t="shared" si="34"/>
        <v>0</v>
      </c>
      <c r="L122" s="17">
        <f t="shared" si="34"/>
        <v>0</v>
      </c>
      <c r="M122" s="17">
        <f t="shared" si="34"/>
        <v>0</v>
      </c>
      <c r="N122" s="17">
        <f t="shared" si="34"/>
        <v>0</v>
      </c>
      <c r="O122" s="17">
        <f t="shared" si="34"/>
        <v>0</v>
      </c>
      <c r="P122" s="17">
        <f t="shared" si="34"/>
        <v>0</v>
      </c>
      <c r="Q122" s="147"/>
      <c r="R122" s="161">
        <f>SUM(R111:R121)</f>
        <v>-3089854</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114</v>
      </c>
      <c r="C125" s="63"/>
      <c r="D125" s="84">
        <f>SUM(E125:P125)</f>
        <v>1453861</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1059</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1453861</v>
      </c>
    </row>
    <row r="126" spans="1:18" ht="18.75" customHeight="1">
      <c r="A126" s="160">
        <f>A125+1</f>
        <v>75</v>
      </c>
      <c r="B126" s="61" t="s">
        <v>119</v>
      </c>
      <c r="C126" s="61"/>
      <c r="D126" s="49">
        <f>SUM(E126:P126)</f>
        <v>1453861</v>
      </c>
      <c r="E126" s="16">
        <f t="shared" ref="E126:P126" si="35">IF(E23=0," ",E125)</f>
        <v>436</v>
      </c>
      <c r="F126" s="16">
        <f t="shared" si="35"/>
        <v>267</v>
      </c>
      <c r="G126" s="16">
        <f t="shared" si="35"/>
        <v>1452099</v>
      </c>
      <c r="H126" s="16">
        <f t="shared" si="35"/>
        <v>0</v>
      </c>
      <c r="I126" s="16">
        <f t="shared" si="35"/>
        <v>0</v>
      </c>
      <c r="J126" s="16">
        <f t="shared" si="35"/>
        <v>1059</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1453861</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64</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75</v>
      </c>
      <c r="C130" s="64"/>
      <c r="D130" s="49">
        <f>SUM(E130:P130)</f>
        <v>294</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48</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294</v>
      </c>
    </row>
    <row r="131" spans="1:19" ht="17.25" customHeight="1">
      <c r="A131" s="69">
        <f>A130+1</f>
        <v>78</v>
      </c>
      <c r="B131" s="65" t="s">
        <v>76</v>
      </c>
      <c r="C131" s="65"/>
      <c r="D131" s="25">
        <f>SUM(E131:P131)</f>
        <v>294</v>
      </c>
      <c r="E131" s="25">
        <f>E130-E129</f>
        <v>25</v>
      </c>
      <c r="F131" s="25">
        <f t="shared" ref="F131:P131" si="36">F130-F129</f>
        <v>17</v>
      </c>
      <c r="G131" s="25">
        <f t="shared" si="36"/>
        <v>135</v>
      </c>
      <c r="H131" s="25">
        <f t="shared" si="36"/>
        <v>32</v>
      </c>
      <c r="I131" s="25">
        <f t="shared" si="36"/>
        <v>37</v>
      </c>
      <c r="J131" s="25">
        <f t="shared" si="36"/>
        <v>48</v>
      </c>
      <c r="K131" s="25">
        <f t="shared" si="36"/>
        <v>0</v>
      </c>
      <c r="L131" s="25">
        <f t="shared" si="36"/>
        <v>0</v>
      </c>
      <c r="M131" s="25">
        <f t="shared" si="36"/>
        <v>0</v>
      </c>
      <c r="N131" s="25">
        <f t="shared" si="36"/>
        <v>0</v>
      </c>
      <c r="O131" s="25">
        <f t="shared" si="36"/>
        <v>0</v>
      </c>
      <c r="P131" s="25">
        <f t="shared" si="36"/>
        <v>0</v>
      </c>
      <c r="Q131" s="147"/>
      <c r="R131" s="148">
        <f>SUM(E131:P131)</f>
        <v>294</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141</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142</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143</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140</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61</v>
      </c>
      <c r="C138" s="54"/>
      <c r="D138" s="34">
        <f>SUM(E138:P138)</f>
        <v>-1839983</v>
      </c>
      <c r="E138" s="16">
        <f t="shared" ref="E138:P138" si="38">IF(E23=0," ",E122+E126+E131)</f>
        <v>738821</v>
      </c>
      <c r="F138" s="16">
        <f t="shared" si="38"/>
        <v>-2484774</v>
      </c>
      <c r="G138" s="16">
        <f t="shared" si="38"/>
        <v>2619748</v>
      </c>
      <c r="H138" s="16">
        <f t="shared" si="38"/>
        <v>-439038</v>
      </c>
      <c r="I138" s="16">
        <f t="shared" si="38"/>
        <v>-1100871</v>
      </c>
      <c r="J138" s="16">
        <f t="shared" si="38"/>
        <v>-1173869</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-2578804</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67805373</v>
      </c>
      <c r="E140" s="38">
        <f t="shared" ref="E140:P140" si="39">IF(E23=0," ",E83+E95+E101+E108+E138+E136)</f>
        <v>15582997</v>
      </c>
      <c r="F140" s="38">
        <f t="shared" si="39"/>
        <v>20044407</v>
      </c>
      <c r="G140" s="38">
        <f t="shared" si="39"/>
        <v>19766986</v>
      </c>
      <c r="H140" s="38">
        <f t="shared" si="39"/>
        <v>4847212</v>
      </c>
      <c r="I140" s="38">
        <f t="shared" si="39"/>
        <v>2192437</v>
      </c>
      <c r="J140" s="38">
        <f t="shared" si="39"/>
        <v>5371334</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2" fitToHeight="2" orientation="landscape" r:id="rId1"/>
  <headerFooter alignWithMargins="0">
    <oddFooter>&amp;L&amp;F - &amp;D&amp;R&amp;P</oddFooter>
  </headerFooter>
  <rowBreaks count="1" manualBreakCount="1">
    <brk id="69"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73</v>
      </c>
      <c r="B1" s="218"/>
      <c r="C1" s="218"/>
      <c r="D1" s="218"/>
      <c r="E1" s="218"/>
      <c r="F1" s="218"/>
      <c r="G1" s="218"/>
      <c r="H1" s="218"/>
      <c r="I1" s="218"/>
      <c r="J1" s="218"/>
      <c r="K1" s="218"/>
      <c r="L1" s="218"/>
      <c r="M1" s="218"/>
      <c r="N1" s="218"/>
    </row>
    <row r="2" spans="1:17" ht="20.25">
      <c r="A2" s="219" t="s">
        <v>129</v>
      </c>
      <c r="B2" s="219"/>
      <c r="C2" s="219"/>
      <c r="D2" s="219"/>
      <c r="E2" s="219"/>
      <c r="F2" s="219"/>
      <c r="G2" s="219"/>
      <c r="H2" s="219"/>
      <c r="I2" s="219"/>
      <c r="J2" s="219"/>
      <c r="K2" s="219"/>
      <c r="L2" s="219"/>
      <c r="M2" s="219"/>
      <c r="N2" s="219"/>
    </row>
    <row r="3" spans="1:17" ht="23.25">
      <c r="A3" s="220" t="s">
        <v>183</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130</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125</v>
      </c>
    </row>
    <row r="8" spans="1:17" ht="24.95" customHeight="1">
      <c r="A8" s="171" t="s">
        <v>124</v>
      </c>
      <c r="B8" s="172">
        <f>'Input Tab'!C54</f>
        <v>547355</v>
      </c>
      <c r="C8" s="172">
        <f>'Input Tab'!D54</f>
        <v>516536</v>
      </c>
      <c r="D8" s="172">
        <f>'Input Tab'!E54</f>
        <v>544642</v>
      </c>
      <c r="E8" s="172">
        <f>'Input Tab'!F54</f>
        <v>444134</v>
      </c>
      <c r="F8" s="172">
        <f>'Input Tab'!G54</f>
        <v>407171</v>
      </c>
      <c r="G8" s="172">
        <f>'Input Tab'!H54</f>
        <v>418743</v>
      </c>
      <c r="H8" s="172">
        <f>'Input Tab'!I54</f>
        <v>0</v>
      </c>
      <c r="I8" s="172">
        <f>'Input Tab'!J54</f>
        <v>0</v>
      </c>
      <c r="J8" s="172">
        <f>'Input Tab'!K54</f>
        <v>0</v>
      </c>
      <c r="K8" s="172">
        <f>'Input Tab'!L54</f>
        <v>0</v>
      </c>
      <c r="L8" s="172">
        <f>'Input Tab'!M54</f>
        <v>0</v>
      </c>
      <c r="M8" s="172">
        <f>'Input Tab'!N54</f>
        <v>0</v>
      </c>
      <c r="N8" s="46">
        <f t="shared" ref="N8:N13" si="1">SUM(B8:M8)</f>
        <v>2878581</v>
      </c>
      <c r="P8" s="173"/>
    </row>
    <row r="9" spans="1:17" ht="24.95" customHeight="1">
      <c r="A9" s="174" t="s">
        <v>126</v>
      </c>
      <c r="B9" s="172">
        <f>-312515235/1000</f>
        <v>-312515</v>
      </c>
      <c r="C9" s="175">
        <f>IF(C8=0,0,-B10)</f>
        <v>-304564</v>
      </c>
      <c r="D9" s="175">
        <f t="shared" ref="D9:M9" si="2">IF(D8=0,0,-C10)</f>
        <v>-295589</v>
      </c>
      <c r="E9" s="175">
        <f t="shared" si="2"/>
        <v>-262441</v>
      </c>
      <c r="F9" s="175">
        <f t="shared" si="2"/>
        <v>-226759</v>
      </c>
      <c r="G9" s="175">
        <f t="shared" si="2"/>
        <v>-245868</v>
      </c>
      <c r="H9" s="175">
        <f t="shared" si="2"/>
        <v>0</v>
      </c>
      <c r="I9" s="175">
        <f t="shared" si="2"/>
        <v>0</v>
      </c>
      <c r="J9" s="175">
        <f t="shared" si="2"/>
        <v>0</v>
      </c>
      <c r="K9" s="175">
        <f t="shared" si="2"/>
        <v>0</v>
      </c>
      <c r="L9" s="175">
        <f t="shared" si="2"/>
        <v>0</v>
      </c>
      <c r="M9" s="175">
        <f t="shared" si="2"/>
        <v>0</v>
      </c>
      <c r="N9" s="46">
        <f t="shared" si="1"/>
        <v>-1647736</v>
      </c>
    </row>
    <row r="10" spans="1:17" ht="24.95" customHeight="1">
      <c r="A10" s="174" t="s">
        <v>127</v>
      </c>
      <c r="B10" s="172">
        <f>'Input Tab'!C55</f>
        <v>304564</v>
      </c>
      <c r="C10" s="172">
        <f>'Input Tab'!D55</f>
        <v>295589</v>
      </c>
      <c r="D10" s="172">
        <f>'Input Tab'!E55</f>
        <v>262441</v>
      </c>
      <c r="E10" s="172">
        <f>'Input Tab'!F55</f>
        <v>226759</v>
      </c>
      <c r="F10" s="172">
        <f>'Input Tab'!G55</f>
        <v>245868</v>
      </c>
      <c r="G10" s="172">
        <f>'Input Tab'!H55</f>
        <v>256648</v>
      </c>
      <c r="H10" s="172">
        <f>'Input Tab'!I55</f>
        <v>0</v>
      </c>
      <c r="I10" s="172">
        <f>'Input Tab'!J55</f>
        <v>0</v>
      </c>
      <c r="J10" s="172">
        <f>'Input Tab'!K55</f>
        <v>0</v>
      </c>
      <c r="K10" s="172">
        <f>'Input Tab'!L55</f>
        <v>0</v>
      </c>
      <c r="L10" s="172">
        <f>'Input Tab'!M55</f>
        <v>0</v>
      </c>
      <c r="M10" s="172">
        <f>'Input Tab'!N55</f>
        <v>0</v>
      </c>
      <c r="N10" s="46">
        <f t="shared" si="1"/>
        <v>1591869</v>
      </c>
      <c r="P10" s="176"/>
      <c r="Q10" s="176"/>
    </row>
    <row r="11" spans="1:17" ht="30.75" customHeight="1">
      <c r="A11" s="177" t="s">
        <v>131</v>
      </c>
      <c r="B11" s="178">
        <f t="shared" ref="B11:L11" si="3">SUM(B8:B10)</f>
        <v>539404</v>
      </c>
      <c r="C11" s="178">
        <f t="shared" si="3"/>
        <v>507561</v>
      </c>
      <c r="D11" s="178">
        <f t="shared" si="3"/>
        <v>511494</v>
      </c>
      <c r="E11" s="178">
        <f t="shared" si="3"/>
        <v>408452</v>
      </c>
      <c r="F11" s="178">
        <f t="shared" si="3"/>
        <v>426280</v>
      </c>
      <c r="G11" s="178">
        <f t="shared" si="3"/>
        <v>429523</v>
      </c>
      <c r="H11" s="178">
        <f t="shared" si="3"/>
        <v>0</v>
      </c>
      <c r="I11" s="178">
        <f t="shared" si="3"/>
        <v>0</v>
      </c>
      <c r="J11" s="178">
        <f t="shared" si="3"/>
        <v>0</v>
      </c>
      <c r="K11" s="178">
        <f t="shared" si="3"/>
        <v>0</v>
      </c>
      <c r="L11" s="178">
        <f t="shared" si="3"/>
        <v>0</v>
      </c>
      <c r="M11" s="178">
        <f>SUM(M8:M10)</f>
        <v>0</v>
      </c>
      <c r="N11" s="179">
        <f t="shared" si="1"/>
        <v>2822714</v>
      </c>
      <c r="P11" s="180"/>
      <c r="Q11" s="173"/>
    </row>
    <row r="12" spans="1:17" ht="32.25" customHeight="1">
      <c r="A12" s="181" t="s">
        <v>132</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SUM(B12:G12)</f>
        <v>2808427</v>
      </c>
      <c r="P12" s="140" t="s">
        <v>136</v>
      </c>
    </row>
    <row r="13" spans="1:17" ht="38.25" customHeight="1">
      <c r="A13" s="184" t="s">
        <v>128</v>
      </c>
      <c r="B13" s="47">
        <f>B11-B12</f>
        <v>-16713</v>
      </c>
      <c r="C13" s="47">
        <f>IF(C8=0," ",C11-C12)</f>
        <v>21198</v>
      </c>
      <c r="D13" s="47">
        <f t="shared" ref="D13:M13" si="4">IF(D8=0," ",D11-D12)</f>
        <v>33959</v>
      </c>
      <c r="E13" s="47">
        <f t="shared" si="4"/>
        <v>-22794</v>
      </c>
      <c r="F13" s="47">
        <f t="shared" si="4"/>
        <v>-6193</v>
      </c>
      <c r="G13" s="47">
        <f t="shared" si="4"/>
        <v>4830</v>
      </c>
      <c r="H13" s="47" t="str">
        <f t="shared" si="4"/>
        <v xml:space="preserve"> </v>
      </c>
      <c r="I13" s="47" t="str">
        <f t="shared" si="4"/>
        <v xml:space="preserve"> </v>
      </c>
      <c r="J13" s="47" t="str">
        <f t="shared" si="4"/>
        <v xml:space="preserve"> </v>
      </c>
      <c r="K13" s="47" t="str">
        <f t="shared" si="4"/>
        <v xml:space="preserve"> </v>
      </c>
      <c r="L13" s="47" t="str">
        <f t="shared" si="4"/>
        <v xml:space="preserve"> </v>
      </c>
      <c r="M13" s="47" t="str">
        <f t="shared" si="4"/>
        <v xml:space="preserve"> </v>
      </c>
      <c r="N13" s="185">
        <f t="shared" si="1"/>
        <v>14287</v>
      </c>
    </row>
    <row r="14" spans="1:17" ht="42.75" customHeight="1">
      <c r="A14" s="184" t="s">
        <v>133</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134</v>
      </c>
      <c r="B15" s="188">
        <f>B13*B14</f>
        <v>-302672</v>
      </c>
      <c r="C15" s="188">
        <f>IF(C8=0,0,C13*C14)</f>
        <v>383896</v>
      </c>
      <c r="D15" s="188">
        <f t="shared" ref="D15:M15" si="5">IF(D8=0,0,D13*D14)</f>
        <v>614997</v>
      </c>
      <c r="E15" s="188">
        <f t="shared" si="5"/>
        <v>-412799</v>
      </c>
      <c r="F15" s="188">
        <f t="shared" si="5"/>
        <v>-112155</v>
      </c>
      <c r="G15" s="188">
        <f t="shared" si="5"/>
        <v>87471</v>
      </c>
      <c r="H15" s="188">
        <f t="shared" si="5"/>
        <v>0</v>
      </c>
      <c r="I15" s="188">
        <f t="shared" si="5"/>
        <v>0</v>
      </c>
      <c r="J15" s="188">
        <f t="shared" si="5"/>
        <v>0</v>
      </c>
      <c r="K15" s="188">
        <f t="shared" si="5"/>
        <v>0</v>
      </c>
      <c r="L15" s="188">
        <f t="shared" si="5"/>
        <v>0</v>
      </c>
      <c r="M15" s="188">
        <f t="shared" si="5"/>
        <v>0</v>
      </c>
      <c r="N15" s="188">
        <f>SUM(B15:M15)</f>
        <v>258738</v>
      </c>
    </row>
    <row r="16" spans="1:17" ht="20.100000000000001" customHeight="1" thickTop="1">
      <c r="G16" s="189"/>
      <c r="N16" s="173"/>
    </row>
    <row r="17" spans="1:14" ht="20.100000000000001" customHeight="1">
      <c r="A17" s="190"/>
      <c r="N17" s="173"/>
    </row>
    <row r="18" spans="1:14" ht="36.75" customHeight="1">
      <c r="A18" s="191" t="s">
        <v>135</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f t="shared" si="7"/>
        <v>112155</v>
      </c>
      <c r="G19" s="194">
        <f t="shared" si="7"/>
        <v>-87471</v>
      </c>
      <c r="H19" s="194" t="str">
        <f t="shared" si="7"/>
        <v xml:space="preserve"> </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-258738</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Rebate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2019-07-15T07:00:00+00:00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A50FF3-C93D-46F8-909F-2D84CCEA5107}"/>
</file>

<file path=customXml/itemProps2.xml><?xml version="1.0" encoding="utf-8"?>
<ds:datastoreItem xmlns:ds="http://schemas.openxmlformats.org/officeDocument/2006/customXml" ds:itemID="{48518E3F-3B86-4141-88A4-CD4B4AF5F682}"/>
</file>

<file path=customXml/itemProps3.xml><?xml version="1.0" encoding="utf-8"?>
<ds:datastoreItem xmlns:ds="http://schemas.openxmlformats.org/officeDocument/2006/customXml" ds:itemID="{AEF99019-7D87-497D-BB96-60142C1B846B}"/>
</file>

<file path=customXml/itemProps4.xml><?xml version="1.0" encoding="utf-8"?>
<ds:datastoreItem xmlns:ds="http://schemas.openxmlformats.org/officeDocument/2006/customXml" ds:itemID="{89D58FA9-5BE3-46D1-B342-42D7D831E3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2019-07-05T15:30:33Z</cp:lastPrinted>
  <dcterms:created xsi:type="dcterms:W3CDTF">2002-02-05T19:51:48Z</dcterms:created>
  <dcterms:modified xsi:type="dcterms:W3CDTF">2019-07-05T16:10:18Z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